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https://digepepdom-my.sharepoint.com/personal/edwin_duvernai_propeep_gob_do/Documents/Escritorio/Simulador del portal/Estadísticas institucionales/2024/Julio/"/>
    </mc:Choice>
  </mc:AlternateContent>
  <xr:revisionPtr revIDLastSave="53" documentId="8_{CBBB8761-EFB3-4515-8989-52ECF416CCB1}" xr6:coauthVersionLast="47" xr6:coauthVersionMax="47" xr10:uidLastSave="{BF17C7F5-E0FF-4E1D-8ED7-C86D45ED2F47}"/>
  <bookViews>
    <workbookView xWindow="-120" yWindow="-120" windowWidth="24240" windowHeight="13020" firstSheet="2" activeTab="7" xr2:uid="{00000000-000D-0000-FFFF-FFFF00000000}"/>
  </bookViews>
  <sheets>
    <sheet name="Resumen CAIPI detenidos ene18" sheetId="16" state="hidden" r:id="rId1"/>
    <sheet name="Resumen Servicio operando PI" sheetId="36" state="hidden" r:id="rId2"/>
    <sheet name="estado terrenos " sheetId="14" r:id="rId3"/>
    <sheet name="Seguimiento Julio 2024" sheetId="1" r:id="rId4"/>
    <sheet name="primera infancia" sheetId="32" r:id="rId5"/>
    <sheet name="Gráfico4" sheetId="23" state="hidden" r:id="rId6"/>
    <sheet name="CAIPI Santo Domingo" sheetId="26" r:id="rId7"/>
    <sheet name="Julio 2024" sheetId="27" r:id="rId8"/>
    <sheet name="tabla dinamica" sheetId="20" state="hidden" r:id="rId9"/>
    <sheet name="Gráfico6" sheetId="17" state="hidden" r:id="rId10"/>
    <sheet name="Gráfico7" sheetId="1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'CAIPI Santo Domingo'!$A$8:$N$85</definedName>
    <definedName name="_xlnm._FilterDatabase" localSheetId="2" hidden="1">'estado terrenos '!$AD$4:$AF$5</definedName>
    <definedName name="_xlnm._FilterDatabase" localSheetId="7" hidden="1">'Julio 2024'!$B$8:$K$31</definedName>
    <definedName name="_xlnm._FilterDatabase" localSheetId="3" hidden="1">'Seguimiento Julio 2024'!$A$11:$W$262</definedName>
    <definedName name="_xlnm.Print_Area" localSheetId="6">'CAIPI Santo Domingo'!$A$1:$J$195</definedName>
    <definedName name="_xlnm.Print_Area" localSheetId="2">'estado terrenos '!$A$1:$AF$38</definedName>
    <definedName name="_xlnm.Print_Area" localSheetId="7">'Julio 2024'!$A$1:$K$78</definedName>
    <definedName name="_xlnm.Print_Area" localSheetId="0">'Resumen CAIPI detenidos ene18'!$A$1:$M$48</definedName>
    <definedName name="_xlnm.Print_Area" localSheetId="3">'Seguimiento Julio 2024'!$A$1:$Q$262</definedName>
    <definedName name="_xlnm.Print_Titles" localSheetId="2">'estado terrenos '!$1:$5</definedName>
    <definedName name="_xlnm.Print_Titles" localSheetId="3">'Seguimiento Julio 2024'!$9:$11</definedName>
  </definedNames>
  <calcPr calcId="191029"/>
  <pivotCaches>
    <pivotCache cacheId="0" r:id="rId24"/>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2" i="1" l="1"/>
  <c r="P262" i="1"/>
  <c r="O262" i="1"/>
  <c r="N262" i="1"/>
  <c r="M262" i="1"/>
  <c r="L262" i="1"/>
  <c r="K262" i="1"/>
  <c r="J262" i="1"/>
  <c r="I262" i="1"/>
  <c r="H262" i="1"/>
  <c r="Q260" i="1"/>
  <c r="P260" i="1"/>
  <c r="O260" i="1"/>
  <c r="N260" i="1"/>
  <c r="M260" i="1"/>
  <c r="L260" i="1"/>
  <c r="K260" i="1"/>
  <c r="J260" i="1"/>
  <c r="I260" i="1"/>
  <c r="H260" i="1"/>
  <c r="Q258" i="1"/>
  <c r="P258" i="1"/>
  <c r="O258" i="1"/>
  <c r="N258" i="1"/>
  <c r="M258" i="1"/>
  <c r="L258" i="1"/>
  <c r="K258" i="1"/>
  <c r="J258" i="1"/>
  <c r="I258" i="1"/>
  <c r="H258" i="1"/>
  <c r="Q257" i="1"/>
  <c r="P257" i="1"/>
  <c r="O257" i="1"/>
  <c r="N257" i="1"/>
  <c r="M257" i="1"/>
  <c r="L257" i="1"/>
  <c r="K257" i="1"/>
  <c r="J257" i="1"/>
  <c r="I257" i="1"/>
  <c r="H257" i="1"/>
  <c r="Q256" i="1"/>
  <c r="P256" i="1"/>
  <c r="O256" i="1"/>
  <c r="N256" i="1"/>
  <c r="M256" i="1"/>
  <c r="L256" i="1"/>
  <c r="K256" i="1"/>
  <c r="J256" i="1"/>
  <c r="I256" i="1"/>
  <c r="H256" i="1"/>
  <c r="Q255" i="1"/>
  <c r="P255" i="1"/>
  <c r="O255" i="1"/>
  <c r="N255" i="1"/>
  <c r="M255" i="1"/>
  <c r="L255" i="1"/>
  <c r="K255" i="1"/>
  <c r="J255" i="1"/>
  <c r="I255" i="1"/>
  <c r="H255" i="1"/>
  <c r="Q184" i="1"/>
  <c r="P184" i="1"/>
  <c r="O184" i="1"/>
  <c r="N184" i="1"/>
  <c r="M184" i="1"/>
  <c r="L184" i="1"/>
  <c r="K184" i="1"/>
  <c r="J184" i="1"/>
  <c r="I184" i="1"/>
  <c r="H184" i="1"/>
  <c r="Q129" i="1"/>
  <c r="P129" i="1"/>
  <c r="O129" i="1"/>
  <c r="N129" i="1"/>
  <c r="M129" i="1"/>
  <c r="L129" i="1"/>
  <c r="K129" i="1"/>
  <c r="J129" i="1"/>
  <c r="I129" i="1"/>
  <c r="H129" i="1"/>
  <c r="Q128" i="1"/>
  <c r="P128" i="1"/>
  <c r="O128" i="1"/>
  <c r="N128" i="1"/>
  <c r="M128" i="1"/>
  <c r="L128" i="1"/>
  <c r="K128" i="1"/>
  <c r="J128" i="1"/>
  <c r="I128" i="1"/>
  <c r="H128" i="1"/>
  <c r="Q127" i="1"/>
  <c r="P127" i="1"/>
  <c r="O127" i="1"/>
  <c r="N127" i="1"/>
  <c r="M127" i="1"/>
  <c r="L127" i="1"/>
  <c r="K127" i="1"/>
  <c r="J127" i="1"/>
  <c r="I127" i="1"/>
  <c r="H127" i="1"/>
  <c r="Q126" i="1"/>
  <c r="P126" i="1"/>
  <c r="O126" i="1"/>
  <c r="N126" i="1"/>
  <c r="M126" i="1"/>
  <c r="L126" i="1"/>
  <c r="K126" i="1"/>
  <c r="J126" i="1"/>
  <c r="I126" i="1"/>
  <c r="H126" i="1"/>
  <c r="Q125" i="1"/>
  <c r="P125" i="1"/>
  <c r="O125" i="1"/>
  <c r="N125" i="1"/>
  <c r="M125" i="1"/>
  <c r="L125" i="1"/>
  <c r="K125" i="1"/>
  <c r="J125" i="1"/>
  <c r="I125" i="1"/>
  <c r="H125" i="1"/>
  <c r="Q124" i="1"/>
  <c r="P124" i="1"/>
  <c r="O124" i="1"/>
  <c r="N124" i="1"/>
  <c r="M124" i="1"/>
  <c r="L124" i="1"/>
  <c r="K124" i="1"/>
  <c r="J124" i="1"/>
  <c r="I124" i="1"/>
  <c r="H124" i="1"/>
  <c r="Q123" i="1"/>
  <c r="P123" i="1"/>
  <c r="O123" i="1"/>
  <c r="N123" i="1"/>
  <c r="M123" i="1"/>
  <c r="L123" i="1"/>
  <c r="K123" i="1"/>
  <c r="J123" i="1"/>
  <c r="I123" i="1"/>
  <c r="H123" i="1"/>
  <c r="Q122" i="1"/>
  <c r="P122" i="1"/>
  <c r="O122" i="1"/>
  <c r="N122" i="1"/>
  <c r="M122" i="1"/>
  <c r="L122" i="1"/>
  <c r="K122" i="1"/>
  <c r="J122" i="1"/>
  <c r="I122" i="1"/>
  <c r="H122" i="1"/>
  <c r="Q121" i="1"/>
  <c r="P121" i="1"/>
  <c r="O121" i="1"/>
  <c r="N121" i="1"/>
  <c r="M121" i="1"/>
  <c r="L121" i="1"/>
  <c r="K121" i="1"/>
  <c r="J121" i="1"/>
  <c r="I121" i="1"/>
  <c r="H121" i="1"/>
  <c r="Q120" i="1"/>
  <c r="P120" i="1"/>
  <c r="O120" i="1"/>
  <c r="N120" i="1"/>
  <c r="M120" i="1"/>
  <c r="L120" i="1"/>
  <c r="K120" i="1"/>
  <c r="J120" i="1"/>
  <c r="I120" i="1"/>
  <c r="H120" i="1"/>
  <c r="Q119" i="1"/>
  <c r="P119" i="1"/>
  <c r="O119" i="1"/>
  <c r="N119" i="1"/>
  <c r="M119" i="1"/>
  <c r="L119" i="1"/>
  <c r="K119" i="1"/>
  <c r="J119" i="1"/>
  <c r="I119" i="1"/>
  <c r="H119" i="1"/>
  <c r="Q118" i="1"/>
  <c r="P118" i="1"/>
  <c r="O118" i="1"/>
  <c r="N118" i="1"/>
  <c r="M118" i="1"/>
  <c r="L118" i="1"/>
  <c r="K118" i="1"/>
  <c r="J118" i="1"/>
  <c r="I118" i="1"/>
  <c r="H118" i="1"/>
  <c r="Q117" i="1"/>
  <c r="P117" i="1"/>
  <c r="O117" i="1"/>
  <c r="N117" i="1"/>
  <c r="M117" i="1"/>
  <c r="L117" i="1"/>
  <c r="K117" i="1"/>
  <c r="J117" i="1"/>
  <c r="I117" i="1"/>
  <c r="H117" i="1"/>
  <c r="Q116" i="1"/>
  <c r="P116" i="1"/>
  <c r="O116" i="1"/>
  <c r="N116" i="1"/>
  <c r="M116" i="1"/>
  <c r="L116" i="1"/>
  <c r="K116" i="1"/>
  <c r="J116" i="1"/>
  <c r="I116" i="1"/>
  <c r="H116" i="1"/>
  <c r="Q115" i="1"/>
  <c r="P115" i="1"/>
  <c r="O115" i="1"/>
  <c r="N115" i="1"/>
  <c r="M115" i="1"/>
  <c r="L115" i="1"/>
  <c r="K115" i="1"/>
  <c r="J115" i="1"/>
  <c r="I115" i="1"/>
  <c r="H115" i="1"/>
  <c r="Q114" i="1"/>
  <c r="P114" i="1"/>
  <c r="O114" i="1"/>
  <c r="N114" i="1"/>
  <c r="M114" i="1"/>
  <c r="L114" i="1"/>
  <c r="K114" i="1"/>
  <c r="J114" i="1"/>
  <c r="I114" i="1"/>
  <c r="H114" i="1"/>
  <c r="Q113" i="1"/>
  <c r="P113" i="1"/>
  <c r="O113" i="1"/>
  <c r="N113" i="1"/>
  <c r="M113" i="1"/>
  <c r="L113" i="1"/>
  <c r="K113" i="1"/>
  <c r="J113" i="1"/>
  <c r="I113" i="1"/>
  <c r="H113" i="1"/>
  <c r="Q112" i="1"/>
  <c r="P112" i="1"/>
  <c r="O112" i="1"/>
  <c r="N112" i="1"/>
  <c r="M112" i="1"/>
  <c r="L112" i="1"/>
  <c r="K112" i="1"/>
  <c r="J112" i="1"/>
  <c r="I112" i="1"/>
  <c r="H112" i="1"/>
  <c r="Q111" i="1"/>
  <c r="P111" i="1"/>
  <c r="O111" i="1"/>
  <c r="N111" i="1"/>
  <c r="M111" i="1"/>
  <c r="L111" i="1"/>
  <c r="K111" i="1"/>
  <c r="J111" i="1"/>
  <c r="I111" i="1"/>
  <c r="H111" i="1"/>
  <c r="Q110" i="1"/>
  <c r="P110" i="1"/>
  <c r="O110" i="1"/>
  <c r="N110" i="1"/>
  <c r="M110" i="1"/>
  <c r="L110" i="1"/>
  <c r="K110" i="1"/>
  <c r="J110" i="1"/>
  <c r="I110" i="1"/>
  <c r="H110" i="1"/>
  <c r="Q109" i="1"/>
  <c r="P109" i="1"/>
  <c r="O109" i="1"/>
  <c r="N109" i="1"/>
  <c r="M109" i="1"/>
  <c r="L109" i="1"/>
  <c r="K109" i="1"/>
  <c r="J109" i="1"/>
  <c r="I109" i="1"/>
  <c r="H109" i="1"/>
  <c r="Q108" i="1"/>
  <c r="P108" i="1"/>
  <c r="O108" i="1"/>
  <c r="N108" i="1"/>
  <c r="M108" i="1"/>
  <c r="L108" i="1"/>
  <c r="K108" i="1"/>
  <c r="J108" i="1"/>
  <c r="I108" i="1"/>
  <c r="H108" i="1"/>
  <c r="Q107" i="1"/>
  <c r="P107" i="1"/>
  <c r="O107" i="1"/>
  <c r="N107" i="1"/>
  <c r="M107" i="1"/>
  <c r="L107" i="1"/>
  <c r="K107" i="1"/>
  <c r="J107" i="1"/>
  <c r="I107" i="1"/>
  <c r="H107" i="1"/>
  <c r="Q106" i="1"/>
  <c r="P106" i="1"/>
  <c r="O106" i="1"/>
  <c r="N106" i="1"/>
  <c r="M106" i="1"/>
  <c r="L106" i="1"/>
  <c r="K106" i="1"/>
  <c r="J106" i="1"/>
  <c r="I106" i="1"/>
  <c r="H106" i="1"/>
  <c r="Q105" i="1"/>
  <c r="P105" i="1"/>
  <c r="O105" i="1"/>
  <c r="N105" i="1"/>
  <c r="M105" i="1"/>
  <c r="L105" i="1"/>
  <c r="K105" i="1"/>
  <c r="J105" i="1"/>
  <c r="I105" i="1"/>
  <c r="H105" i="1"/>
  <c r="Q104" i="1"/>
  <c r="P104" i="1"/>
  <c r="O104" i="1"/>
  <c r="N104" i="1"/>
  <c r="M104" i="1"/>
  <c r="L104" i="1"/>
  <c r="K104" i="1"/>
  <c r="J104" i="1"/>
  <c r="I104" i="1"/>
  <c r="H104" i="1"/>
  <c r="Q103" i="1"/>
  <c r="P103" i="1"/>
  <c r="O103" i="1"/>
  <c r="N103" i="1"/>
  <c r="M103" i="1"/>
  <c r="L103" i="1"/>
  <c r="K103" i="1"/>
  <c r="J103" i="1"/>
  <c r="I103" i="1"/>
  <c r="H103" i="1"/>
  <c r="Q102" i="1"/>
  <c r="P102" i="1"/>
  <c r="O102" i="1"/>
  <c r="N102" i="1"/>
  <c r="M102" i="1"/>
  <c r="L102" i="1"/>
  <c r="K102" i="1"/>
  <c r="J102" i="1"/>
  <c r="I102" i="1"/>
  <c r="H102" i="1"/>
  <c r="G233" i="1"/>
  <c r="Q243" i="1"/>
  <c r="P243" i="1"/>
  <c r="O243" i="1"/>
  <c r="N243" i="1"/>
  <c r="M243" i="1"/>
  <c r="L243" i="1"/>
  <c r="K243" i="1"/>
  <c r="J243" i="1"/>
  <c r="I243" i="1"/>
  <c r="H243" i="1"/>
  <c r="Q242" i="1"/>
  <c r="P242" i="1"/>
  <c r="O242" i="1"/>
  <c r="N242" i="1"/>
  <c r="M242" i="1"/>
  <c r="L242" i="1"/>
  <c r="K242" i="1"/>
  <c r="J242" i="1"/>
  <c r="I242" i="1"/>
  <c r="H242" i="1"/>
  <c r="Q241" i="1"/>
  <c r="P241" i="1"/>
  <c r="O241" i="1"/>
  <c r="N241" i="1"/>
  <c r="M241" i="1"/>
  <c r="L241" i="1"/>
  <c r="K241" i="1"/>
  <c r="J241" i="1"/>
  <c r="I241" i="1"/>
  <c r="H241" i="1"/>
  <c r="Q239" i="1"/>
  <c r="P239" i="1"/>
  <c r="O239" i="1"/>
  <c r="N239" i="1"/>
  <c r="M239" i="1"/>
  <c r="L239" i="1"/>
  <c r="K239" i="1"/>
  <c r="J239" i="1"/>
  <c r="I239" i="1"/>
  <c r="H239" i="1"/>
  <c r="Q238" i="1"/>
  <c r="P238" i="1"/>
  <c r="O238" i="1"/>
  <c r="N238" i="1"/>
  <c r="M238" i="1"/>
  <c r="L238" i="1"/>
  <c r="K238" i="1"/>
  <c r="J238" i="1"/>
  <c r="I238" i="1"/>
  <c r="H238" i="1"/>
  <c r="Q233" i="1"/>
  <c r="P233" i="1"/>
  <c r="O233" i="1"/>
  <c r="N233" i="1"/>
  <c r="M233" i="1"/>
  <c r="L233" i="1"/>
  <c r="K233" i="1"/>
  <c r="J233" i="1"/>
  <c r="I233" i="1"/>
  <c r="H233" i="1"/>
  <c r="Q226" i="1"/>
  <c r="P226" i="1"/>
  <c r="O226" i="1"/>
  <c r="N226" i="1"/>
  <c r="M226" i="1"/>
  <c r="L226" i="1"/>
  <c r="K226" i="1"/>
  <c r="J226" i="1"/>
  <c r="I226" i="1"/>
  <c r="H226" i="1"/>
  <c r="Q225" i="1"/>
  <c r="P225" i="1"/>
  <c r="O225" i="1"/>
  <c r="N225" i="1"/>
  <c r="M225" i="1"/>
  <c r="L225" i="1"/>
  <c r="K225" i="1"/>
  <c r="J225" i="1"/>
  <c r="I225" i="1"/>
  <c r="H225" i="1"/>
  <c r="Q224" i="1"/>
  <c r="P224" i="1"/>
  <c r="O224" i="1"/>
  <c r="N224" i="1"/>
  <c r="M224" i="1"/>
  <c r="L224" i="1"/>
  <c r="K224" i="1"/>
  <c r="J224" i="1"/>
  <c r="I224" i="1"/>
  <c r="H224" i="1"/>
  <c r="Q223" i="1"/>
  <c r="P223" i="1"/>
  <c r="O223" i="1"/>
  <c r="N223" i="1"/>
  <c r="M223" i="1"/>
  <c r="L223" i="1"/>
  <c r="K223" i="1"/>
  <c r="J223" i="1"/>
  <c r="I223" i="1"/>
  <c r="H223" i="1"/>
  <c r="Q221" i="1"/>
  <c r="P221" i="1"/>
  <c r="O221" i="1"/>
  <c r="N221" i="1"/>
  <c r="M221" i="1"/>
  <c r="L221" i="1"/>
  <c r="K221" i="1"/>
  <c r="J221" i="1"/>
  <c r="I221" i="1"/>
  <c r="H221" i="1"/>
  <c r="Q220" i="1"/>
  <c r="P220" i="1"/>
  <c r="O220" i="1"/>
  <c r="N220" i="1"/>
  <c r="M220" i="1"/>
  <c r="L220" i="1"/>
  <c r="K220" i="1"/>
  <c r="J220" i="1"/>
  <c r="I220" i="1"/>
  <c r="H220" i="1"/>
  <c r="Q219" i="1"/>
  <c r="P219" i="1"/>
  <c r="O219" i="1"/>
  <c r="N219" i="1"/>
  <c r="M219" i="1"/>
  <c r="L219" i="1"/>
  <c r="K219" i="1"/>
  <c r="J219" i="1"/>
  <c r="I219" i="1"/>
  <c r="H219" i="1"/>
  <c r="Q218" i="1"/>
  <c r="P218" i="1"/>
  <c r="O218" i="1"/>
  <c r="N218" i="1"/>
  <c r="M218" i="1"/>
  <c r="L218" i="1"/>
  <c r="K218" i="1"/>
  <c r="J218" i="1"/>
  <c r="I218" i="1"/>
  <c r="H218" i="1"/>
  <c r="Q217" i="1"/>
  <c r="P217" i="1"/>
  <c r="O217" i="1"/>
  <c r="N217" i="1"/>
  <c r="M217" i="1"/>
  <c r="L217" i="1"/>
  <c r="K217" i="1"/>
  <c r="J217" i="1"/>
  <c r="I217" i="1"/>
  <c r="H217" i="1"/>
  <c r="Q216" i="1"/>
  <c r="P216" i="1"/>
  <c r="O216" i="1"/>
  <c r="N216" i="1"/>
  <c r="M216" i="1"/>
  <c r="L216" i="1"/>
  <c r="K216" i="1"/>
  <c r="J216" i="1"/>
  <c r="I216" i="1"/>
  <c r="H216" i="1"/>
  <c r="Q214" i="1"/>
  <c r="P214" i="1"/>
  <c r="O214" i="1"/>
  <c r="N214" i="1"/>
  <c r="M214" i="1"/>
  <c r="L214" i="1"/>
  <c r="K214" i="1"/>
  <c r="J214" i="1"/>
  <c r="I214" i="1"/>
  <c r="H214" i="1"/>
  <c r="Q213" i="1"/>
  <c r="P213" i="1"/>
  <c r="O213" i="1"/>
  <c r="N213" i="1"/>
  <c r="M213" i="1"/>
  <c r="L213" i="1"/>
  <c r="K213" i="1"/>
  <c r="J213" i="1"/>
  <c r="I213" i="1"/>
  <c r="H213" i="1"/>
  <c r="Q212" i="1"/>
  <c r="P212" i="1"/>
  <c r="O212" i="1"/>
  <c r="N212" i="1"/>
  <c r="M212" i="1"/>
  <c r="L212" i="1"/>
  <c r="K212" i="1"/>
  <c r="J212" i="1"/>
  <c r="I212" i="1"/>
  <c r="H212" i="1"/>
  <c r="Q211" i="1"/>
  <c r="P211" i="1"/>
  <c r="O211" i="1"/>
  <c r="N211" i="1"/>
  <c r="M211" i="1"/>
  <c r="L211" i="1"/>
  <c r="K211" i="1"/>
  <c r="J211" i="1"/>
  <c r="I211" i="1"/>
  <c r="H211" i="1"/>
  <c r="Q210" i="1"/>
  <c r="P210" i="1"/>
  <c r="O210" i="1"/>
  <c r="N210" i="1"/>
  <c r="M210" i="1"/>
  <c r="L210" i="1"/>
  <c r="K210" i="1"/>
  <c r="J210" i="1"/>
  <c r="I210" i="1"/>
  <c r="H210" i="1"/>
  <c r="Q209" i="1"/>
  <c r="P209" i="1"/>
  <c r="O209" i="1"/>
  <c r="N209" i="1"/>
  <c r="M209" i="1"/>
  <c r="L209" i="1"/>
  <c r="K209" i="1"/>
  <c r="J209" i="1"/>
  <c r="I209" i="1"/>
  <c r="H209" i="1"/>
  <c r="Q205" i="1"/>
  <c r="P205" i="1"/>
  <c r="O205" i="1"/>
  <c r="N205" i="1"/>
  <c r="M205" i="1"/>
  <c r="L205" i="1"/>
  <c r="K205" i="1"/>
  <c r="J205" i="1"/>
  <c r="I205" i="1"/>
  <c r="H205" i="1"/>
  <c r="Q204" i="1"/>
  <c r="P204" i="1"/>
  <c r="O204" i="1"/>
  <c r="N204" i="1"/>
  <c r="M204" i="1"/>
  <c r="L204" i="1"/>
  <c r="K204" i="1"/>
  <c r="J204" i="1"/>
  <c r="I204" i="1"/>
  <c r="H204" i="1"/>
  <c r="Q203" i="1"/>
  <c r="P203" i="1"/>
  <c r="O203" i="1"/>
  <c r="N203" i="1"/>
  <c r="M203" i="1"/>
  <c r="L203" i="1"/>
  <c r="K203" i="1"/>
  <c r="J203" i="1"/>
  <c r="I203" i="1"/>
  <c r="H203" i="1"/>
  <c r="Q177" i="1"/>
  <c r="P177" i="1"/>
  <c r="O177" i="1"/>
  <c r="N177" i="1"/>
  <c r="M177" i="1"/>
  <c r="L177" i="1"/>
  <c r="K177" i="1"/>
  <c r="J177" i="1"/>
  <c r="I177" i="1"/>
  <c r="H177" i="1"/>
  <c r="Q176" i="1"/>
  <c r="P176" i="1"/>
  <c r="O176" i="1"/>
  <c r="N176" i="1"/>
  <c r="M176" i="1"/>
  <c r="L176" i="1"/>
  <c r="K176" i="1"/>
  <c r="J176" i="1"/>
  <c r="I176" i="1"/>
  <c r="H176" i="1"/>
  <c r="Q175" i="1"/>
  <c r="P175" i="1"/>
  <c r="O175" i="1"/>
  <c r="N175" i="1"/>
  <c r="M175" i="1"/>
  <c r="L175" i="1"/>
  <c r="K175" i="1"/>
  <c r="J175" i="1"/>
  <c r="I175" i="1"/>
  <c r="H175" i="1"/>
  <c r="Q174" i="1"/>
  <c r="P174" i="1"/>
  <c r="O174" i="1"/>
  <c r="N174" i="1"/>
  <c r="M174" i="1"/>
  <c r="L174" i="1"/>
  <c r="K174" i="1"/>
  <c r="J174" i="1"/>
  <c r="I174" i="1"/>
  <c r="H174" i="1"/>
  <c r="Q173" i="1"/>
  <c r="P173" i="1"/>
  <c r="O173" i="1"/>
  <c r="N173" i="1"/>
  <c r="M173" i="1"/>
  <c r="L173" i="1"/>
  <c r="K173" i="1"/>
  <c r="J173" i="1"/>
  <c r="I173" i="1"/>
  <c r="H173" i="1"/>
  <c r="Q172" i="1"/>
  <c r="P172" i="1"/>
  <c r="O172" i="1"/>
  <c r="N172" i="1"/>
  <c r="M172" i="1"/>
  <c r="L172" i="1"/>
  <c r="K172" i="1"/>
  <c r="J172" i="1"/>
  <c r="I172" i="1"/>
  <c r="H172" i="1"/>
  <c r="Q171" i="1"/>
  <c r="P171" i="1"/>
  <c r="O171" i="1"/>
  <c r="N171" i="1"/>
  <c r="M171" i="1"/>
  <c r="L171" i="1"/>
  <c r="K171" i="1"/>
  <c r="J171" i="1"/>
  <c r="I171" i="1"/>
  <c r="H171" i="1"/>
  <c r="Q170" i="1"/>
  <c r="P170" i="1"/>
  <c r="O170" i="1"/>
  <c r="N170" i="1"/>
  <c r="M170" i="1"/>
  <c r="L170" i="1"/>
  <c r="K170" i="1"/>
  <c r="J170" i="1"/>
  <c r="I170" i="1"/>
  <c r="H170" i="1"/>
  <c r="Q169" i="1"/>
  <c r="P169" i="1"/>
  <c r="O169" i="1"/>
  <c r="N169" i="1"/>
  <c r="M169" i="1"/>
  <c r="L169" i="1"/>
  <c r="K169" i="1"/>
  <c r="J169" i="1"/>
  <c r="I169" i="1"/>
  <c r="H169" i="1"/>
  <c r="Q168" i="1"/>
  <c r="P168" i="1"/>
  <c r="O168" i="1"/>
  <c r="N168" i="1"/>
  <c r="M168" i="1"/>
  <c r="L168" i="1"/>
  <c r="K168" i="1"/>
  <c r="J168" i="1"/>
  <c r="I168" i="1"/>
  <c r="H168" i="1"/>
  <c r="Q167" i="1"/>
  <c r="P167" i="1"/>
  <c r="O167" i="1"/>
  <c r="N167" i="1"/>
  <c r="M167" i="1"/>
  <c r="L167" i="1"/>
  <c r="K167" i="1"/>
  <c r="J167" i="1"/>
  <c r="I167" i="1"/>
  <c r="H167" i="1"/>
  <c r="Q166" i="1"/>
  <c r="P166" i="1"/>
  <c r="O166" i="1"/>
  <c r="N166" i="1"/>
  <c r="M166" i="1"/>
  <c r="L166" i="1"/>
  <c r="K166" i="1"/>
  <c r="J166" i="1"/>
  <c r="I166" i="1"/>
  <c r="H166" i="1"/>
  <c r="Q165" i="1"/>
  <c r="P165" i="1"/>
  <c r="O165" i="1"/>
  <c r="N165" i="1"/>
  <c r="M165" i="1"/>
  <c r="L165" i="1"/>
  <c r="K165" i="1"/>
  <c r="J165" i="1"/>
  <c r="I165" i="1"/>
  <c r="H165" i="1"/>
  <c r="Q164" i="1"/>
  <c r="P164" i="1"/>
  <c r="O164" i="1"/>
  <c r="N164" i="1"/>
  <c r="M164" i="1"/>
  <c r="L164" i="1"/>
  <c r="K164" i="1"/>
  <c r="J164" i="1"/>
  <c r="I164" i="1"/>
  <c r="H164" i="1"/>
  <c r="Q163" i="1"/>
  <c r="P163" i="1"/>
  <c r="O163" i="1"/>
  <c r="N163" i="1"/>
  <c r="M163" i="1"/>
  <c r="L163" i="1"/>
  <c r="K163" i="1"/>
  <c r="J163" i="1"/>
  <c r="I163" i="1"/>
  <c r="H163" i="1"/>
  <c r="Q162" i="1"/>
  <c r="P162" i="1"/>
  <c r="O162" i="1"/>
  <c r="N162" i="1"/>
  <c r="M162" i="1"/>
  <c r="L162" i="1"/>
  <c r="K162" i="1"/>
  <c r="J162" i="1"/>
  <c r="I162" i="1"/>
  <c r="H162" i="1"/>
  <c r="Q161" i="1"/>
  <c r="P161" i="1"/>
  <c r="O161" i="1"/>
  <c r="N161" i="1"/>
  <c r="M161" i="1"/>
  <c r="L161" i="1"/>
  <c r="K161" i="1"/>
  <c r="J161" i="1"/>
  <c r="I161" i="1"/>
  <c r="H161" i="1"/>
  <c r="Q160" i="1"/>
  <c r="P160" i="1"/>
  <c r="O160" i="1"/>
  <c r="N160" i="1"/>
  <c r="M160" i="1"/>
  <c r="L160" i="1"/>
  <c r="K160" i="1"/>
  <c r="J160" i="1"/>
  <c r="I160" i="1"/>
  <c r="H160" i="1"/>
  <c r="Q159" i="1"/>
  <c r="P159" i="1"/>
  <c r="O159" i="1"/>
  <c r="N159" i="1"/>
  <c r="M159" i="1"/>
  <c r="L159" i="1"/>
  <c r="K159" i="1"/>
  <c r="J159" i="1"/>
  <c r="I159" i="1"/>
  <c r="H159" i="1"/>
  <c r="Q158" i="1"/>
  <c r="P158" i="1"/>
  <c r="O158" i="1"/>
  <c r="N158" i="1"/>
  <c r="M158" i="1"/>
  <c r="L158" i="1"/>
  <c r="K158" i="1"/>
  <c r="J158" i="1"/>
  <c r="I158" i="1"/>
  <c r="H158" i="1"/>
  <c r="Q157" i="1"/>
  <c r="P157" i="1"/>
  <c r="O157" i="1"/>
  <c r="N157" i="1"/>
  <c r="M157" i="1"/>
  <c r="L157" i="1"/>
  <c r="K157" i="1"/>
  <c r="J157" i="1"/>
  <c r="I157" i="1"/>
  <c r="H157" i="1"/>
  <c r="Q156" i="1"/>
  <c r="P156" i="1"/>
  <c r="O156" i="1"/>
  <c r="N156" i="1"/>
  <c r="M156" i="1"/>
  <c r="L156" i="1"/>
  <c r="K156" i="1"/>
  <c r="J156" i="1"/>
  <c r="I156" i="1"/>
  <c r="H156" i="1"/>
  <c r="Q155" i="1"/>
  <c r="P155" i="1"/>
  <c r="O155" i="1"/>
  <c r="N155" i="1"/>
  <c r="M155" i="1"/>
  <c r="L155" i="1"/>
  <c r="K155" i="1"/>
  <c r="J155" i="1"/>
  <c r="I155" i="1"/>
  <c r="H155" i="1"/>
  <c r="Q154" i="1"/>
  <c r="P154" i="1"/>
  <c r="O154" i="1"/>
  <c r="N154" i="1"/>
  <c r="M154" i="1"/>
  <c r="L154" i="1"/>
  <c r="K154" i="1"/>
  <c r="J154" i="1"/>
  <c r="I154" i="1"/>
  <c r="H154" i="1"/>
  <c r="Q153" i="1"/>
  <c r="P153" i="1"/>
  <c r="O153" i="1"/>
  <c r="N153" i="1"/>
  <c r="M153" i="1"/>
  <c r="L153" i="1"/>
  <c r="K153" i="1"/>
  <c r="J153" i="1"/>
  <c r="I153" i="1"/>
  <c r="H153" i="1"/>
  <c r="Q152" i="1"/>
  <c r="P152" i="1"/>
  <c r="O152" i="1"/>
  <c r="N152" i="1"/>
  <c r="M152" i="1"/>
  <c r="L152" i="1"/>
  <c r="K152" i="1"/>
  <c r="J152" i="1"/>
  <c r="I152" i="1"/>
  <c r="H152" i="1"/>
  <c r="Q151" i="1"/>
  <c r="P151" i="1"/>
  <c r="O151" i="1"/>
  <c r="N151" i="1"/>
  <c r="M151" i="1"/>
  <c r="L151" i="1"/>
  <c r="K151" i="1"/>
  <c r="J151" i="1"/>
  <c r="I151" i="1"/>
  <c r="H151" i="1"/>
  <c r="Q150" i="1"/>
  <c r="P150" i="1"/>
  <c r="O150" i="1"/>
  <c r="N150" i="1"/>
  <c r="M150" i="1"/>
  <c r="L150" i="1"/>
  <c r="K150" i="1"/>
  <c r="J150" i="1"/>
  <c r="I150" i="1"/>
  <c r="H150" i="1"/>
  <c r="Q101" i="1"/>
  <c r="P101" i="1"/>
  <c r="O101" i="1"/>
  <c r="N101" i="1"/>
  <c r="M101" i="1"/>
  <c r="L101" i="1"/>
  <c r="K101" i="1"/>
  <c r="J101" i="1"/>
  <c r="I101" i="1"/>
  <c r="H101" i="1"/>
  <c r="Q100" i="1"/>
  <c r="P100" i="1"/>
  <c r="O100" i="1"/>
  <c r="N100" i="1"/>
  <c r="M100" i="1"/>
  <c r="L100" i="1"/>
  <c r="K100" i="1"/>
  <c r="J100" i="1"/>
  <c r="I100" i="1"/>
  <c r="H100" i="1"/>
  <c r="Q99" i="1"/>
  <c r="P99" i="1"/>
  <c r="O99" i="1"/>
  <c r="N99" i="1"/>
  <c r="M99" i="1"/>
  <c r="L99" i="1"/>
  <c r="K99" i="1"/>
  <c r="J99" i="1"/>
  <c r="I99" i="1"/>
  <c r="H99" i="1"/>
  <c r="Q98" i="1"/>
  <c r="P98" i="1"/>
  <c r="O98" i="1"/>
  <c r="N98" i="1"/>
  <c r="M98" i="1"/>
  <c r="L98" i="1"/>
  <c r="K98" i="1"/>
  <c r="J98" i="1"/>
  <c r="I98" i="1"/>
  <c r="H98" i="1"/>
  <c r="Q97" i="1"/>
  <c r="P97" i="1"/>
  <c r="O97" i="1"/>
  <c r="N97" i="1"/>
  <c r="M97" i="1"/>
  <c r="L97" i="1"/>
  <c r="K97" i="1"/>
  <c r="J97" i="1"/>
  <c r="I97" i="1"/>
  <c r="H97" i="1"/>
  <c r="Q96" i="1"/>
  <c r="P96" i="1"/>
  <c r="O96" i="1"/>
  <c r="N96" i="1"/>
  <c r="M96" i="1"/>
  <c r="L96" i="1"/>
  <c r="K96" i="1"/>
  <c r="J96" i="1"/>
  <c r="I96" i="1"/>
  <c r="H96" i="1"/>
  <c r="Q95" i="1"/>
  <c r="P95" i="1"/>
  <c r="O95" i="1"/>
  <c r="N95" i="1"/>
  <c r="M95" i="1"/>
  <c r="L95" i="1"/>
  <c r="K95" i="1"/>
  <c r="J95" i="1"/>
  <c r="I95" i="1"/>
  <c r="H95" i="1"/>
  <c r="Q94" i="1"/>
  <c r="P94" i="1"/>
  <c r="O94" i="1"/>
  <c r="N94" i="1"/>
  <c r="M94" i="1"/>
  <c r="L94" i="1"/>
  <c r="K94" i="1"/>
  <c r="J94" i="1"/>
  <c r="I94" i="1"/>
  <c r="H94" i="1"/>
  <c r="Q93" i="1"/>
  <c r="P93" i="1"/>
  <c r="O93" i="1"/>
  <c r="N93" i="1"/>
  <c r="M93" i="1"/>
  <c r="L93" i="1"/>
  <c r="K93" i="1"/>
  <c r="J93" i="1"/>
  <c r="I93" i="1"/>
  <c r="H93" i="1"/>
  <c r="Q92" i="1"/>
  <c r="P92" i="1"/>
  <c r="O92" i="1"/>
  <c r="N92" i="1"/>
  <c r="M92" i="1"/>
  <c r="L92" i="1"/>
  <c r="K92" i="1"/>
  <c r="J92" i="1"/>
  <c r="I92" i="1"/>
  <c r="H92" i="1"/>
  <c r="Q91" i="1"/>
  <c r="P91" i="1"/>
  <c r="O91" i="1"/>
  <c r="N91" i="1"/>
  <c r="M91" i="1"/>
  <c r="L91" i="1"/>
  <c r="K91" i="1"/>
  <c r="J91" i="1"/>
  <c r="I91" i="1"/>
  <c r="H91" i="1"/>
  <c r="Q90" i="1"/>
  <c r="P90" i="1"/>
  <c r="O90" i="1"/>
  <c r="N90" i="1"/>
  <c r="M90" i="1"/>
  <c r="L90" i="1"/>
  <c r="K90" i="1"/>
  <c r="J90" i="1"/>
  <c r="I90" i="1"/>
  <c r="H90" i="1"/>
  <c r="Q89" i="1"/>
  <c r="P89" i="1"/>
  <c r="O89" i="1"/>
  <c r="N89" i="1"/>
  <c r="M89" i="1"/>
  <c r="L89" i="1"/>
  <c r="K89" i="1"/>
  <c r="J89" i="1"/>
  <c r="I89" i="1"/>
  <c r="H89" i="1"/>
  <c r="Q88" i="1"/>
  <c r="P88" i="1"/>
  <c r="O88" i="1"/>
  <c r="N88" i="1"/>
  <c r="M88" i="1"/>
  <c r="L88" i="1"/>
  <c r="K88" i="1"/>
  <c r="J88" i="1"/>
  <c r="I88" i="1"/>
  <c r="H88" i="1"/>
  <c r="Q87" i="1"/>
  <c r="P87" i="1"/>
  <c r="O87" i="1"/>
  <c r="N87" i="1"/>
  <c r="M87" i="1"/>
  <c r="L87" i="1"/>
  <c r="K87" i="1"/>
  <c r="J87" i="1"/>
  <c r="I87" i="1"/>
  <c r="H87" i="1"/>
  <c r="Q86" i="1"/>
  <c r="P86" i="1"/>
  <c r="O86" i="1"/>
  <c r="N86" i="1"/>
  <c r="M86" i="1"/>
  <c r="L86" i="1"/>
  <c r="K86" i="1"/>
  <c r="J86" i="1"/>
  <c r="I86" i="1"/>
  <c r="H86" i="1"/>
  <c r="Q85" i="1"/>
  <c r="P85" i="1"/>
  <c r="O85" i="1"/>
  <c r="N85" i="1"/>
  <c r="M85" i="1"/>
  <c r="L85" i="1"/>
  <c r="K85" i="1"/>
  <c r="J85" i="1"/>
  <c r="I85" i="1"/>
  <c r="H85" i="1"/>
  <c r="Q84" i="1"/>
  <c r="P84" i="1"/>
  <c r="O84" i="1"/>
  <c r="N84" i="1"/>
  <c r="M84" i="1"/>
  <c r="L84" i="1"/>
  <c r="K84" i="1"/>
  <c r="J84" i="1"/>
  <c r="I84" i="1"/>
  <c r="H84" i="1"/>
  <c r="Q83" i="1"/>
  <c r="P83" i="1"/>
  <c r="O83" i="1"/>
  <c r="N83" i="1"/>
  <c r="M83" i="1"/>
  <c r="L83" i="1"/>
  <c r="K83" i="1"/>
  <c r="J83" i="1"/>
  <c r="I83" i="1"/>
  <c r="H83" i="1"/>
  <c r="Q82" i="1"/>
  <c r="P82" i="1"/>
  <c r="O82" i="1"/>
  <c r="N82" i="1"/>
  <c r="M82" i="1"/>
  <c r="L82" i="1"/>
  <c r="K82" i="1"/>
  <c r="J82" i="1"/>
  <c r="I82" i="1"/>
  <c r="H82" i="1"/>
  <c r="Q81" i="1"/>
  <c r="P81" i="1"/>
  <c r="O81" i="1"/>
  <c r="N81" i="1"/>
  <c r="M81" i="1"/>
  <c r="L81" i="1"/>
  <c r="K81" i="1"/>
  <c r="J81" i="1"/>
  <c r="I81" i="1"/>
  <c r="H81" i="1"/>
  <c r="Q80" i="1"/>
  <c r="P80" i="1"/>
  <c r="O80" i="1"/>
  <c r="N80" i="1"/>
  <c r="M80" i="1"/>
  <c r="L80" i="1"/>
  <c r="K80" i="1"/>
  <c r="J80" i="1"/>
  <c r="I80" i="1"/>
  <c r="H80" i="1"/>
  <c r="Q79" i="1"/>
  <c r="P79" i="1"/>
  <c r="O79" i="1"/>
  <c r="N79" i="1"/>
  <c r="M79" i="1"/>
  <c r="L79" i="1"/>
  <c r="K79" i="1"/>
  <c r="J79" i="1"/>
  <c r="I79" i="1"/>
  <c r="H79" i="1"/>
  <c r="Q78" i="1"/>
  <c r="P78" i="1"/>
  <c r="O78" i="1"/>
  <c r="N78" i="1"/>
  <c r="M78" i="1"/>
  <c r="L78" i="1"/>
  <c r="K78" i="1"/>
  <c r="J78" i="1"/>
  <c r="I78" i="1"/>
  <c r="H78" i="1"/>
  <c r="Q77" i="1"/>
  <c r="P77" i="1"/>
  <c r="O77" i="1"/>
  <c r="N77" i="1"/>
  <c r="M77" i="1"/>
  <c r="L77" i="1"/>
  <c r="K77" i="1"/>
  <c r="J77" i="1"/>
  <c r="I77" i="1"/>
  <c r="H77" i="1"/>
  <c r="Q76" i="1"/>
  <c r="P76" i="1"/>
  <c r="O76" i="1"/>
  <c r="N76" i="1"/>
  <c r="M76" i="1"/>
  <c r="L76" i="1"/>
  <c r="K76" i="1"/>
  <c r="J76" i="1"/>
  <c r="I76" i="1"/>
  <c r="H76" i="1"/>
  <c r="Q75" i="1"/>
  <c r="P75" i="1"/>
  <c r="O75" i="1"/>
  <c r="N75" i="1"/>
  <c r="M75" i="1"/>
  <c r="L75" i="1"/>
  <c r="K75" i="1"/>
  <c r="J75" i="1"/>
  <c r="I75" i="1"/>
  <c r="H75" i="1"/>
  <c r="Q74" i="1"/>
  <c r="P74" i="1"/>
  <c r="O74" i="1"/>
  <c r="N74" i="1"/>
  <c r="M74" i="1"/>
  <c r="L74" i="1"/>
  <c r="K74" i="1"/>
  <c r="J74" i="1"/>
  <c r="I74" i="1"/>
  <c r="H74" i="1"/>
  <c r="Q73" i="1"/>
  <c r="P73" i="1"/>
  <c r="O73" i="1"/>
  <c r="N73" i="1"/>
  <c r="M73" i="1"/>
  <c r="L73" i="1"/>
  <c r="K73" i="1"/>
  <c r="J73" i="1"/>
  <c r="I73" i="1"/>
  <c r="H73" i="1"/>
  <c r="Q72" i="1"/>
  <c r="P72" i="1"/>
  <c r="O72" i="1"/>
  <c r="N72" i="1"/>
  <c r="M72" i="1"/>
  <c r="L72" i="1"/>
  <c r="K72" i="1"/>
  <c r="J72" i="1"/>
  <c r="I72" i="1"/>
  <c r="H72" i="1"/>
  <c r="Q71" i="1"/>
  <c r="P71" i="1"/>
  <c r="O71" i="1"/>
  <c r="N71" i="1"/>
  <c r="M71" i="1"/>
  <c r="L71" i="1"/>
  <c r="K71" i="1"/>
  <c r="J71" i="1"/>
  <c r="I71" i="1"/>
  <c r="H71" i="1"/>
  <c r="Q70" i="1"/>
  <c r="P70" i="1"/>
  <c r="O70" i="1"/>
  <c r="N70" i="1"/>
  <c r="M70" i="1"/>
  <c r="L70" i="1"/>
  <c r="K70" i="1"/>
  <c r="J70" i="1"/>
  <c r="I70" i="1"/>
  <c r="H70" i="1"/>
  <c r="Q69" i="1"/>
  <c r="P69" i="1"/>
  <c r="O69" i="1"/>
  <c r="N69" i="1"/>
  <c r="M69" i="1"/>
  <c r="L69" i="1"/>
  <c r="K69" i="1"/>
  <c r="J69" i="1"/>
  <c r="I69" i="1"/>
  <c r="H69" i="1"/>
  <c r="Q68" i="1"/>
  <c r="P68" i="1"/>
  <c r="O68" i="1"/>
  <c r="N68" i="1"/>
  <c r="M68" i="1"/>
  <c r="L68" i="1"/>
  <c r="K68" i="1"/>
  <c r="J68" i="1"/>
  <c r="I68" i="1"/>
  <c r="H68" i="1"/>
  <c r="Q67" i="1"/>
  <c r="P67" i="1"/>
  <c r="O67" i="1"/>
  <c r="N67" i="1"/>
  <c r="M67" i="1"/>
  <c r="L67" i="1"/>
  <c r="K67" i="1"/>
  <c r="J67" i="1"/>
  <c r="I67" i="1"/>
  <c r="H67" i="1"/>
  <c r="Q66" i="1"/>
  <c r="P66" i="1"/>
  <c r="O66" i="1"/>
  <c r="N66" i="1"/>
  <c r="M66" i="1"/>
  <c r="L66" i="1"/>
  <c r="K66" i="1"/>
  <c r="J66" i="1"/>
  <c r="I66" i="1"/>
  <c r="H66" i="1"/>
  <c r="Q65" i="1"/>
  <c r="P65" i="1"/>
  <c r="O65" i="1"/>
  <c r="N65" i="1"/>
  <c r="M65" i="1"/>
  <c r="L65" i="1"/>
  <c r="K65" i="1"/>
  <c r="J65" i="1"/>
  <c r="I65" i="1"/>
  <c r="H65" i="1"/>
  <c r="Q64" i="1"/>
  <c r="P64" i="1"/>
  <c r="O64" i="1"/>
  <c r="N64" i="1"/>
  <c r="M64" i="1"/>
  <c r="L64" i="1"/>
  <c r="K64" i="1"/>
  <c r="J64" i="1"/>
  <c r="I64" i="1"/>
  <c r="H64" i="1"/>
  <c r="Q63" i="1"/>
  <c r="P63" i="1"/>
  <c r="O63" i="1"/>
  <c r="N63" i="1"/>
  <c r="M63" i="1"/>
  <c r="L63" i="1"/>
  <c r="K63" i="1"/>
  <c r="J63" i="1"/>
  <c r="I63" i="1"/>
  <c r="H63" i="1"/>
  <c r="Q62" i="1"/>
  <c r="P62" i="1"/>
  <c r="O62" i="1"/>
  <c r="N62" i="1"/>
  <c r="M62" i="1"/>
  <c r="L62" i="1"/>
  <c r="K62" i="1"/>
  <c r="J62" i="1"/>
  <c r="I62" i="1"/>
  <c r="H62" i="1"/>
  <c r="Q61" i="1"/>
  <c r="P61" i="1"/>
  <c r="O61" i="1"/>
  <c r="N61" i="1"/>
  <c r="M61" i="1"/>
  <c r="L61" i="1"/>
  <c r="K61" i="1"/>
  <c r="J61" i="1"/>
  <c r="I61" i="1"/>
  <c r="H61" i="1"/>
  <c r="Q60" i="1"/>
  <c r="P60" i="1"/>
  <c r="O60" i="1"/>
  <c r="N60" i="1"/>
  <c r="M60" i="1"/>
  <c r="L60" i="1"/>
  <c r="K60" i="1"/>
  <c r="J60" i="1"/>
  <c r="I60" i="1"/>
  <c r="H60" i="1"/>
  <c r="Q254" i="1"/>
  <c r="P254" i="1"/>
  <c r="O254" i="1"/>
  <c r="N254" i="1"/>
  <c r="M254" i="1"/>
  <c r="L254" i="1"/>
  <c r="K254" i="1"/>
  <c r="J254" i="1"/>
  <c r="I254" i="1"/>
  <c r="H254" i="1"/>
  <c r="Q253" i="1"/>
  <c r="P253" i="1"/>
  <c r="O253" i="1"/>
  <c r="N253" i="1"/>
  <c r="M253" i="1"/>
  <c r="L253" i="1"/>
  <c r="K253" i="1"/>
  <c r="J253" i="1"/>
  <c r="I253" i="1"/>
  <c r="H253" i="1"/>
  <c r="Q252" i="1"/>
  <c r="P252" i="1"/>
  <c r="O252" i="1"/>
  <c r="N252" i="1"/>
  <c r="M252" i="1"/>
  <c r="L252" i="1"/>
  <c r="K252" i="1"/>
  <c r="J252" i="1"/>
  <c r="I252" i="1"/>
  <c r="H252" i="1"/>
  <c r="Q251" i="1"/>
  <c r="P251" i="1"/>
  <c r="O251" i="1"/>
  <c r="N251" i="1"/>
  <c r="M251" i="1"/>
  <c r="L251" i="1"/>
  <c r="K251" i="1"/>
  <c r="J251" i="1"/>
  <c r="I251" i="1"/>
  <c r="H251" i="1"/>
  <c r="Q250" i="1"/>
  <c r="P250" i="1"/>
  <c r="O250" i="1"/>
  <c r="N250" i="1"/>
  <c r="M250" i="1"/>
  <c r="L250" i="1"/>
  <c r="K250" i="1"/>
  <c r="J250" i="1"/>
  <c r="I250" i="1"/>
  <c r="H250" i="1"/>
  <c r="Q249" i="1"/>
  <c r="P249" i="1"/>
  <c r="O249" i="1"/>
  <c r="N249" i="1"/>
  <c r="M249" i="1"/>
  <c r="L249" i="1"/>
  <c r="K249" i="1"/>
  <c r="J249" i="1"/>
  <c r="I249" i="1"/>
  <c r="H249" i="1"/>
  <c r="Q248" i="1"/>
  <c r="P248" i="1"/>
  <c r="O248" i="1"/>
  <c r="N248" i="1"/>
  <c r="M248" i="1"/>
  <c r="L248" i="1"/>
  <c r="K248" i="1"/>
  <c r="J248" i="1"/>
  <c r="I248" i="1"/>
  <c r="H248" i="1"/>
  <c r="Q247" i="1"/>
  <c r="P247" i="1"/>
  <c r="O247" i="1"/>
  <c r="N247" i="1"/>
  <c r="M247" i="1"/>
  <c r="L247" i="1"/>
  <c r="K247" i="1"/>
  <c r="J247" i="1"/>
  <c r="I247" i="1"/>
  <c r="H247" i="1"/>
  <c r="Q246" i="1"/>
  <c r="P246" i="1"/>
  <c r="O246" i="1"/>
  <c r="N246" i="1"/>
  <c r="M246" i="1"/>
  <c r="L246" i="1"/>
  <c r="K246" i="1"/>
  <c r="J246" i="1"/>
  <c r="I246" i="1"/>
  <c r="H246" i="1"/>
  <c r="Q245" i="1"/>
  <c r="P245" i="1"/>
  <c r="O245" i="1"/>
  <c r="N245" i="1"/>
  <c r="M245" i="1"/>
  <c r="L245" i="1"/>
  <c r="K245" i="1"/>
  <c r="J245" i="1"/>
  <c r="I245" i="1"/>
  <c r="H245" i="1"/>
  <c r="Q244" i="1"/>
  <c r="P244" i="1"/>
  <c r="O244" i="1"/>
  <c r="N244" i="1"/>
  <c r="M244" i="1"/>
  <c r="L244" i="1"/>
  <c r="K244" i="1"/>
  <c r="J244" i="1"/>
  <c r="I244" i="1"/>
  <c r="H244" i="1"/>
  <c r="Q240" i="1"/>
  <c r="P240" i="1"/>
  <c r="O240" i="1"/>
  <c r="N240" i="1"/>
  <c r="M240" i="1"/>
  <c r="L240" i="1"/>
  <c r="K240" i="1"/>
  <c r="J240" i="1"/>
  <c r="I240" i="1"/>
  <c r="H240" i="1"/>
  <c r="R236" i="1"/>
  <c r="Q236" i="1"/>
  <c r="P236" i="1"/>
  <c r="O236" i="1"/>
  <c r="N236" i="1"/>
  <c r="M236" i="1"/>
  <c r="L236" i="1"/>
  <c r="K236" i="1"/>
  <c r="J236" i="1"/>
  <c r="I236" i="1"/>
  <c r="H236" i="1"/>
  <c r="R235" i="1"/>
  <c r="Q235" i="1"/>
  <c r="P235" i="1"/>
  <c r="O235" i="1"/>
  <c r="N235" i="1"/>
  <c r="M235" i="1"/>
  <c r="L235" i="1"/>
  <c r="K235" i="1"/>
  <c r="J235" i="1"/>
  <c r="I235" i="1"/>
  <c r="H235" i="1"/>
  <c r="R234" i="1"/>
  <c r="Q234" i="1"/>
  <c r="P234" i="1"/>
  <c r="O234" i="1"/>
  <c r="N234" i="1"/>
  <c r="M234" i="1"/>
  <c r="L234" i="1"/>
  <c r="K234" i="1"/>
  <c r="J234" i="1"/>
  <c r="I234" i="1"/>
  <c r="H234" i="1"/>
  <c r="Q232" i="1"/>
  <c r="P232" i="1"/>
  <c r="O232" i="1"/>
  <c r="N232" i="1"/>
  <c r="M232" i="1"/>
  <c r="L232" i="1"/>
  <c r="K232" i="1"/>
  <c r="J232" i="1"/>
  <c r="I232" i="1"/>
  <c r="H232" i="1"/>
  <c r="Q231" i="1"/>
  <c r="P231" i="1"/>
  <c r="O231" i="1"/>
  <c r="N231" i="1"/>
  <c r="M231" i="1"/>
  <c r="L231" i="1"/>
  <c r="K231" i="1"/>
  <c r="J231" i="1"/>
  <c r="I231" i="1"/>
  <c r="H231" i="1"/>
  <c r="Q230" i="1"/>
  <c r="P230" i="1"/>
  <c r="O230" i="1"/>
  <c r="N230" i="1"/>
  <c r="M230" i="1"/>
  <c r="L230" i="1"/>
  <c r="K230" i="1"/>
  <c r="J230" i="1"/>
  <c r="I230" i="1"/>
  <c r="H230" i="1"/>
  <c r="Q229" i="1"/>
  <c r="P229" i="1"/>
  <c r="O229" i="1"/>
  <c r="N229" i="1"/>
  <c r="M229" i="1"/>
  <c r="L229" i="1"/>
  <c r="K229" i="1"/>
  <c r="J229" i="1"/>
  <c r="I229" i="1"/>
  <c r="H229" i="1"/>
  <c r="Q228" i="1"/>
  <c r="P228" i="1"/>
  <c r="O228" i="1"/>
  <c r="N228" i="1"/>
  <c r="M228" i="1"/>
  <c r="L228" i="1"/>
  <c r="K228" i="1"/>
  <c r="J228" i="1"/>
  <c r="I228" i="1"/>
  <c r="H228" i="1"/>
  <c r="Q227" i="1"/>
  <c r="P227" i="1"/>
  <c r="O227" i="1"/>
  <c r="N227" i="1"/>
  <c r="M227" i="1"/>
  <c r="L227" i="1"/>
  <c r="K227" i="1"/>
  <c r="J227" i="1"/>
  <c r="I227" i="1"/>
  <c r="H227" i="1"/>
  <c r="Q215" i="1"/>
  <c r="P215" i="1"/>
  <c r="O215" i="1"/>
  <c r="N215" i="1"/>
  <c r="M215" i="1"/>
  <c r="L215" i="1"/>
  <c r="K215" i="1"/>
  <c r="J215" i="1"/>
  <c r="I215" i="1"/>
  <c r="H215" i="1"/>
  <c r="Q208" i="1"/>
  <c r="P208" i="1"/>
  <c r="O208" i="1"/>
  <c r="N208" i="1"/>
  <c r="M208" i="1"/>
  <c r="L208" i="1"/>
  <c r="K208" i="1"/>
  <c r="J208" i="1"/>
  <c r="I208" i="1"/>
  <c r="H208" i="1"/>
  <c r="Q207" i="1"/>
  <c r="P207" i="1"/>
  <c r="O207" i="1"/>
  <c r="N207" i="1"/>
  <c r="M207" i="1"/>
  <c r="L207" i="1"/>
  <c r="K207" i="1"/>
  <c r="J207" i="1"/>
  <c r="I207" i="1"/>
  <c r="H207" i="1"/>
  <c r="Q206" i="1"/>
  <c r="P206" i="1"/>
  <c r="O206" i="1"/>
  <c r="N206" i="1"/>
  <c r="M206" i="1"/>
  <c r="L206" i="1"/>
  <c r="K206" i="1"/>
  <c r="J206" i="1"/>
  <c r="I206" i="1"/>
  <c r="H206" i="1"/>
  <c r="Q45" i="1"/>
  <c r="P45" i="1"/>
  <c r="O45" i="1"/>
  <c r="N45" i="1"/>
  <c r="M45" i="1"/>
  <c r="L45" i="1"/>
  <c r="K45" i="1"/>
  <c r="J45" i="1"/>
  <c r="I45" i="1"/>
  <c r="H45" i="1"/>
  <c r="Q44" i="1"/>
  <c r="P44" i="1"/>
  <c r="O44" i="1"/>
  <c r="N44" i="1"/>
  <c r="M44" i="1"/>
  <c r="L44" i="1"/>
  <c r="K44" i="1"/>
  <c r="J44" i="1"/>
  <c r="I44" i="1"/>
  <c r="H44" i="1"/>
  <c r="Q43" i="1"/>
  <c r="P43" i="1"/>
  <c r="O43" i="1"/>
  <c r="N43" i="1"/>
  <c r="M43" i="1"/>
  <c r="L43" i="1"/>
  <c r="K43" i="1"/>
  <c r="J43" i="1"/>
  <c r="I43" i="1"/>
  <c r="H43" i="1"/>
  <c r="Q42" i="1"/>
  <c r="P42" i="1"/>
  <c r="O42" i="1"/>
  <c r="N42" i="1"/>
  <c r="M42" i="1"/>
  <c r="L42" i="1"/>
  <c r="K42" i="1"/>
  <c r="J42" i="1"/>
  <c r="I42" i="1"/>
  <c r="H42" i="1"/>
  <c r="Q41" i="1"/>
  <c r="P41" i="1"/>
  <c r="O41" i="1"/>
  <c r="N41" i="1"/>
  <c r="M41" i="1"/>
  <c r="L41" i="1"/>
  <c r="K41" i="1"/>
  <c r="J41" i="1"/>
  <c r="I41" i="1"/>
  <c r="H41" i="1"/>
  <c r="Q40" i="1"/>
  <c r="P40" i="1"/>
  <c r="O40" i="1"/>
  <c r="N40" i="1"/>
  <c r="M40" i="1"/>
  <c r="L40" i="1"/>
  <c r="K40" i="1"/>
  <c r="J40" i="1"/>
  <c r="I40" i="1"/>
  <c r="H40" i="1"/>
  <c r="Q39" i="1"/>
  <c r="P39" i="1"/>
  <c r="O39" i="1"/>
  <c r="N39" i="1"/>
  <c r="M39" i="1"/>
  <c r="L39" i="1"/>
  <c r="K39" i="1"/>
  <c r="J39" i="1"/>
  <c r="I39" i="1"/>
  <c r="H39" i="1"/>
  <c r="Q38" i="1"/>
  <c r="P38" i="1"/>
  <c r="O38" i="1"/>
  <c r="N38" i="1"/>
  <c r="M38" i="1"/>
  <c r="L38" i="1"/>
  <c r="K38" i="1"/>
  <c r="J38" i="1"/>
  <c r="I38" i="1"/>
  <c r="H38" i="1"/>
  <c r="Q37" i="1"/>
  <c r="P37" i="1"/>
  <c r="O37" i="1"/>
  <c r="N37" i="1"/>
  <c r="M37" i="1"/>
  <c r="L37" i="1"/>
  <c r="K37" i="1"/>
  <c r="J37" i="1"/>
  <c r="I37" i="1"/>
  <c r="H37" i="1"/>
  <c r="Q36" i="1"/>
  <c r="P36" i="1"/>
  <c r="O36" i="1"/>
  <c r="N36" i="1"/>
  <c r="M36" i="1"/>
  <c r="L36" i="1"/>
  <c r="K36" i="1"/>
  <c r="J36" i="1"/>
  <c r="I36" i="1"/>
  <c r="H36" i="1"/>
  <c r="Q35" i="1"/>
  <c r="P35" i="1"/>
  <c r="O35" i="1"/>
  <c r="N35" i="1"/>
  <c r="M35" i="1"/>
  <c r="L35" i="1"/>
  <c r="K35" i="1"/>
  <c r="J35" i="1"/>
  <c r="I35" i="1"/>
  <c r="H35" i="1"/>
  <c r="Q34" i="1"/>
  <c r="P34" i="1"/>
  <c r="O34" i="1"/>
  <c r="N34" i="1"/>
  <c r="M34" i="1"/>
  <c r="L34" i="1"/>
  <c r="K34" i="1"/>
  <c r="J34" i="1"/>
  <c r="I34" i="1"/>
  <c r="H34" i="1"/>
  <c r="Q33" i="1"/>
  <c r="P33" i="1"/>
  <c r="O33" i="1"/>
  <c r="N33" i="1"/>
  <c r="M33" i="1"/>
  <c r="L33" i="1"/>
  <c r="K33" i="1"/>
  <c r="J33" i="1"/>
  <c r="I33" i="1"/>
  <c r="H33" i="1"/>
  <c r="Q32" i="1"/>
  <c r="P32" i="1"/>
  <c r="O32" i="1"/>
  <c r="N32" i="1"/>
  <c r="M32" i="1"/>
  <c r="L32" i="1"/>
  <c r="K32" i="1"/>
  <c r="J32" i="1"/>
  <c r="I32" i="1"/>
  <c r="H32" i="1"/>
  <c r="Q31" i="1"/>
  <c r="P31" i="1"/>
  <c r="O31" i="1"/>
  <c r="N31" i="1"/>
  <c r="M31" i="1"/>
  <c r="L31" i="1"/>
  <c r="K31" i="1"/>
  <c r="J31" i="1"/>
  <c r="I31" i="1"/>
  <c r="H31" i="1"/>
  <c r="Q30" i="1"/>
  <c r="P30" i="1"/>
  <c r="O30" i="1"/>
  <c r="N30" i="1"/>
  <c r="M30" i="1"/>
  <c r="L30" i="1"/>
  <c r="K30" i="1"/>
  <c r="J30" i="1"/>
  <c r="I30" i="1"/>
  <c r="H30" i="1"/>
  <c r="Q259" i="1"/>
  <c r="P259" i="1"/>
  <c r="O259" i="1"/>
  <c r="N259" i="1"/>
  <c r="M259" i="1"/>
  <c r="L259" i="1"/>
  <c r="K259" i="1"/>
  <c r="J259" i="1"/>
  <c r="I259" i="1"/>
  <c r="H259" i="1"/>
  <c r="Q237" i="1"/>
  <c r="P237" i="1"/>
  <c r="O237" i="1"/>
  <c r="N237" i="1"/>
  <c r="M237" i="1"/>
  <c r="L237" i="1"/>
  <c r="K237" i="1"/>
  <c r="J237" i="1"/>
  <c r="I237" i="1"/>
  <c r="H237" i="1"/>
  <c r="Q222" i="1"/>
  <c r="P222" i="1"/>
  <c r="O222" i="1"/>
  <c r="N222" i="1"/>
  <c r="M222" i="1"/>
  <c r="L222" i="1"/>
  <c r="K222" i="1"/>
  <c r="J222" i="1"/>
  <c r="I222" i="1"/>
  <c r="H222" i="1"/>
  <c r="Q202" i="1"/>
  <c r="P202" i="1"/>
  <c r="O202" i="1"/>
  <c r="N202" i="1"/>
  <c r="M202" i="1"/>
  <c r="L202" i="1"/>
  <c r="K202" i="1"/>
  <c r="J202" i="1"/>
  <c r="I202" i="1"/>
  <c r="H202" i="1"/>
  <c r="Q201" i="1"/>
  <c r="P201" i="1"/>
  <c r="O201" i="1"/>
  <c r="N201" i="1"/>
  <c r="M201" i="1"/>
  <c r="L201" i="1"/>
  <c r="K201" i="1"/>
  <c r="J201" i="1"/>
  <c r="I201" i="1"/>
  <c r="H201" i="1"/>
  <c r="Q200" i="1"/>
  <c r="P200" i="1"/>
  <c r="O200" i="1"/>
  <c r="N200" i="1"/>
  <c r="M200" i="1"/>
  <c r="L200" i="1"/>
  <c r="K200" i="1"/>
  <c r="J200" i="1"/>
  <c r="I200" i="1"/>
  <c r="H200" i="1"/>
  <c r="Q199" i="1"/>
  <c r="P199" i="1"/>
  <c r="O199" i="1"/>
  <c r="N199" i="1"/>
  <c r="M199" i="1"/>
  <c r="L199" i="1"/>
  <c r="K199" i="1"/>
  <c r="J199" i="1"/>
  <c r="I199" i="1"/>
  <c r="H199" i="1"/>
  <c r="Q198" i="1"/>
  <c r="P198" i="1"/>
  <c r="O198" i="1"/>
  <c r="N198" i="1"/>
  <c r="M198" i="1"/>
  <c r="L198" i="1"/>
  <c r="K198" i="1"/>
  <c r="J198" i="1"/>
  <c r="I198" i="1"/>
  <c r="H198" i="1"/>
  <c r="Q197" i="1"/>
  <c r="P197" i="1"/>
  <c r="O197" i="1"/>
  <c r="N197" i="1"/>
  <c r="M197" i="1"/>
  <c r="L197" i="1"/>
  <c r="K197" i="1"/>
  <c r="J197" i="1"/>
  <c r="I197" i="1"/>
  <c r="H197" i="1"/>
  <c r="Q196" i="1"/>
  <c r="P196" i="1"/>
  <c r="O196" i="1"/>
  <c r="N196" i="1"/>
  <c r="M196" i="1"/>
  <c r="L196" i="1"/>
  <c r="K196" i="1"/>
  <c r="J196" i="1"/>
  <c r="I196" i="1"/>
  <c r="H196" i="1"/>
  <c r="Q195" i="1"/>
  <c r="P195" i="1"/>
  <c r="O195" i="1"/>
  <c r="N195" i="1"/>
  <c r="M195" i="1"/>
  <c r="L195" i="1"/>
  <c r="K195" i="1"/>
  <c r="J195" i="1"/>
  <c r="I195" i="1"/>
  <c r="H195" i="1"/>
  <c r="Q194" i="1"/>
  <c r="P194" i="1"/>
  <c r="O194" i="1"/>
  <c r="N194" i="1"/>
  <c r="M194" i="1"/>
  <c r="L194" i="1"/>
  <c r="K194" i="1"/>
  <c r="J194" i="1"/>
  <c r="I194" i="1"/>
  <c r="H194" i="1"/>
  <c r="Q193" i="1"/>
  <c r="P193" i="1"/>
  <c r="O193" i="1"/>
  <c r="N193" i="1"/>
  <c r="M193" i="1"/>
  <c r="L193" i="1"/>
  <c r="K193" i="1"/>
  <c r="J193" i="1"/>
  <c r="I193" i="1"/>
  <c r="H193" i="1"/>
  <c r="Q192" i="1"/>
  <c r="P192" i="1"/>
  <c r="O192" i="1"/>
  <c r="N192" i="1"/>
  <c r="M192" i="1"/>
  <c r="L192" i="1"/>
  <c r="K192" i="1"/>
  <c r="J192" i="1"/>
  <c r="I192" i="1"/>
  <c r="H192" i="1"/>
  <c r="Q191" i="1"/>
  <c r="P191" i="1"/>
  <c r="O191" i="1"/>
  <c r="N191" i="1"/>
  <c r="M191" i="1"/>
  <c r="L191" i="1"/>
  <c r="K191" i="1"/>
  <c r="J191" i="1"/>
  <c r="I191" i="1"/>
  <c r="H191" i="1"/>
  <c r="Q190" i="1"/>
  <c r="P190" i="1"/>
  <c r="O190" i="1"/>
  <c r="N190" i="1"/>
  <c r="M190" i="1"/>
  <c r="L190" i="1"/>
  <c r="K190" i="1"/>
  <c r="J190" i="1"/>
  <c r="I190" i="1"/>
  <c r="H190" i="1"/>
  <c r="Q189" i="1"/>
  <c r="P189" i="1"/>
  <c r="O189" i="1"/>
  <c r="N189" i="1"/>
  <c r="M189" i="1"/>
  <c r="L189" i="1"/>
  <c r="K189" i="1"/>
  <c r="J189" i="1"/>
  <c r="I189" i="1"/>
  <c r="H189" i="1"/>
  <c r="Q188" i="1"/>
  <c r="P188" i="1"/>
  <c r="O188" i="1"/>
  <c r="N188" i="1"/>
  <c r="M188" i="1"/>
  <c r="L188" i="1"/>
  <c r="K188" i="1"/>
  <c r="J188" i="1"/>
  <c r="I188" i="1"/>
  <c r="H188" i="1"/>
  <c r="Q187" i="1"/>
  <c r="P187" i="1"/>
  <c r="O187" i="1"/>
  <c r="N187" i="1"/>
  <c r="M187" i="1"/>
  <c r="L187" i="1"/>
  <c r="K187" i="1"/>
  <c r="J187" i="1"/>
  <c r="I187" i="1"/>
  <c r="H187" i="1"/>
  <c r="Q186" i="1"/>
  <c r="P186" i="1"/>
  <c r="O186" i="1"/>
  <c r="N186" i="1"/>
  <c r="M186" i="1"/>
  <c r="L186" i="1"/>
  <c r="K186" i="1"/>
  <c r="J186" i="1"/>
  <c r="I186" i="1"/>
  <c r="H186" i="1"/>
  <c r="Q185" i="1"/>
  <c r="P185" i="1"/>
  <c r="O185" i="1"/>
  <c r="N185" i="1"/>
  <c r="M185" i="1"/>
  <c r="L185" i="1"/>
  <c r="K185" i="1"/>
  <c r="J185" i="1"/>
  <c r="I185" i="1"/>
  <c r="H185" i="1"/>
  <c r="Q183" i="1"/>
  <c r="P183" i="1"/>
  <c r="O183" i="1"/>
  <c r="N183" i="1"/>
  <c r="M183" i="1"/>
  <c r="L183" i="1"/>
  <c r="K183" i="1"/>
  <c r="J183" i="1"/>
  <c r="I183" i="1"/>
  <c r="H183" i="1"/>
  <c r="Q182" i="1"/>
  <c r="P182" i="1"/>
  <c r="O182" i="1"/>
  <c r="N182" i="1"/>
  <c r="M182" i="1"/>
  <c r="L182" i="1"/>
  <c r="K182" i="1"/>
  <c r="J182" i="1"/>
  <c r="I182" i="1"/>
  <c r="H182" i="1"/>
  <c r="Q181" i="1"/>
  <c r="P181" i="1"/>
  <c r="O181" i="1"/>
  <c r="N181" i="1"/>
  <c r="M181" i="1"/>
  <c r="L181" i="1"/>
  <c r="K181" i="1"/>
  <c r="J181" i="1"/>
  <c r="I181" i="1"/>
  <c r="H181" i="1"/>
  <c r="Q180" i="1"/>
  <c r="P180" i="1"/>
  <c r="O180" i="1"/>
  <c r="N180" i="1"/>
  <c r="M180" i="1"/>
  <c r="L180" i="1"/>
  <c r="K180" i="1"/>
  <c r="J180" i="1"/>
  <c r="I180" i="1"/>
  <c r="H180" i="1"/>
  <c r="Q179" i="1"/>
  <c r="P179" i="1"/>
  <c r="O179" i="1"/>
  <c r="N179" i="1"/>
  <c r="M179" i="1"/>
  <c r="L179" i="1"/>
  <c r="K179" i="1"/>
  <c r="J179" i="1"/>
  <c r="I179" i="1"/>
  <c r="H179" i="1"/>
  <c r="Q178" i="1"/>
  <c r="P178" i="1"/>
  <c r="O178" i="1"/>
  <c r="N178" i="1"/>
  <c r="M178" i="1"/>
  <c r="L178" i="1"/>
  <c r="K178" i="1"/>
  <c r="J178" i="1"/>
  <c r="I178" i="1"/>
  <c r="H178" i="1"/>
  <c r="Q149" i="1"/>
  <c r="P149" i="1"/>
  <c r="O149" i="1"/>
  <c r="N149" i="1"/>
  <c r="M149" i="1"/>
  <c r="L149" i="1"/>
  <c r="K149" i="1"/>
  <c r="J149" i="1"/>
  <c r="I149" i="1"/>
  <c r="H149" i="1"/>
  <c r="Q148" i="1"/>
  <c r="P148" i="1"/>
  <c r="O148" i="1"/>
  <c r="N148" i="1"/>
  <c r="M148" i="1"/>
  <c r="L148" i="1"/>
  <c r="K148" i="1"/>
  <c r="J148" i="1"/>
  <c r="I148" i="1"/>
  <c r="H148" i="1"/>
  <c r="Q147" i="1"/>
  <c r="P147" i="1"/>
  <c r="O147" i="1"/>
  <c r="N147" i="1"/>
  <c r="M147" i="1"/>
  <c r="L147" i="1"/>
  <c r="K147" i="1"/>
  <c r="J147" i="1"/>
  <c r="I147" i="1"/>
  <c r="H147" i="1"/>
  <c r="Q146" i="1"/>
  <c r="P146" i="1"/>
  <c r="O146" i="1"/>
  <c r="N146" i="1"/>
  <c r="M146" i="1"/>
  <c r="L146" i="1"/>
  <c r="K146" i="1"/>
  <c r="J146" i="1"/>
  <c r="I146" i="1"/>
  <c r="H146" i="1"/>
  <c r="Q145" i="1"/>
  <c r="P145" i="1"/>
  <c r="O145" i="1"/>
  <c r="N145" i="1"/>
  <c r="M145" i="1"/>
  <c r="L145" i="1"/>
  <c r="K145" i="1"/>
  <c r="J145" i="1"/>
  <c r="I145" i="1"/>
  <c r="H145" i="1"/>
  <c r="Q144" i="1"/>
  <c r="P144" i="1"/>
  <c r="O144" i="1"/>
  <c r="N144" i="1"/>
  <c r="M144" i="1"/>
  <c r="L144" i="1"/>
  <c r="K144" i="1"/>
  <c r="J144" i="1"/>
  <c r="I144" i="1"/>
  <c r="H144" i="1"/>
  <c r="Q143" i="1"/>
  <c r="P143" i="1"/>
  <c r="O143" i="1"/>
  <c r="N143" i="1"/>
  <c r="M143" i="1"/>
  <c r="L143" i="1"/>
  <c r="K143" i="1"/>
  <c r="J143" i="1"/>
  <c r="I143" i="1"/>
  <c r="H143" i="1"/>
  <c r="Q142" i="1"/>
  <c r="P142" i="1"/>
  <c r="O142" i="1"/>
  <c r="N142" i="1"/>
  <c r="M142" i="1"/>
  <c r="L142" i="1"/>
  <c r="K142" i="1"/>
  <c r="J142" i="1"/>
  <c r="I142" i="1"/>
  <c r="H142" i="1"/>
  <c r="Q141" i="1"/>
  <c r="P141" i="1"/>
  <c r="O141" i="1"/>
  <c r="N141" i="1"/>
  <c r="M141" i="1"/>
  <c r="L141" i="1"/>
  <c r="K141" i="1"/>
  <c r="J141" i="1"/>
  <c r="I141" i="1"/>
  <c r="H141" i="1"/>
  <c r="Q140" i="1"/>
  <c r="P140" i="1"/>
  <c r="O140" i="1"/>
  <c r="N140" i="1"/>
  <c r="M140" i="1"/>
  <c r="L140" i="1"/>
  <c r="K140" i="1"/>
  <c r="J140" i="1"/>
  <c r="I140" i="1"/>
  <c r="H140" i="1"/>
  <c r="Q139" i="1"/>
  <c r="P139" i="1"/>
  <c r="O139" i="1"/>
  <c r="N139" i="1"/>
  <c r="M139" i="1"/>
  <c r="L139" i="1"/>
  <c r="K139" i="1"/>
  <c r="J139" i="1"/>
  <c r="I139" i="1"/>
  <c r="H139" i="1"/>
  <c r="Q138" i="1"/>
  <c r="P138" i="1"/>
  <c r="O138" i="1"/>
  <c r="N138" i="1"/>
  <c r="M138" i="1"/>
  <c r="L138" i="1"/>
  <c r="K138" i="1"/>
  <c r="J138" i="1"/>
  <c r="I138" i="1"/>
  <c r="H138" i="1"/>
  <c r="Q137" i="1"/>
  <c r="P137" i="1"/>
  <c r="O137" i="1"/>
  <c r="N137" i="1"/>
  <c r="M137" i="1"/>
  <c r="L137" i="1"/>
  <c r="K137" i="1"/>
  <c r="J137" i="1"/>
  <c r="I137" i="1"/>
  <c r="H137" i="1"/>
  <c r="Q136" i="1"/>
  <c r="P136" i="1"/>
  <c r="O136" i="1"/>
  <c r="N136" i="1"/>
  <c r="M136" i="1"/>
  <c r="L136" i="1"/>
  <c r="K136" i="1"/>
  <c r="J136" i="1"/>
  <c r="I136" i="1"/>
  <c r="H136" i="1"/>
  <c r="Q135" i="1"/>
  <c r="P135" i="1"/>
  <c r="O135" i="1"/>
  <c r="N135" i="1"/>
  <c r="M135" i="1"/>
  <c r="L135" i="1"/>
  <c r="K135" i="1"/>
  <c r="J135" i="1"/>
  <c r="I135" i="1"/>
  <c r="H135" i="1"/>
  <c r="Q134" i="1"/>
  <c r="P134" i="1"/>
  <c r="O134" i="1"/>
  <c r="N134" i="1"/>
  <c r="M134" i="1"/>
  <c r="L134" i="1"/>
  <c r="K134" i="1"/>
  <c r="J134" i="1"/>
  <c r="I134" i="1"/>
  <c r="H134" i="1"/>
  <c r="Q133" i="1"/>
  <c r="P133" i="1"/>
  <c r="O133" i="1"/>
  <c r="N133" i="1"/>
  <c r="M133" i="1"/>
  <c r="L133" i="1"/>
  <c r="K133" i="1"/>
  <c r="J133" i="1"/>
  <c r="I133" i="1"/>
  <c r="H133" i="1"/>
  <c r="Q132" i="1"/>
  <c r="P132" i="1"/>
  <c r="O132" i="1"/>
  <c r="N132" i="1"/>
  <c r="M132" i="1"/>
  <c r="L132" i="1"/>
  <c r="K132" i="1"/>
  <c r="J132" i="1"/>
  <c r="I132" i="1"/>
  <c r="H132" i="1"/>
  <c r="Q131" i="1"/>
  <c r="P131" i="1"/>
  <c r="O131" i="1"/>
  <c r="N131" i="1"/>
  <c r="M131" i="1"/>
  <c r="L131" i="1"/>
  <c r="K131" i="1"/>
  <c r="J131" i="1"/>
  <c r="I131" i="1"/>
  <c r="H131" i="1"/>
  <c r="Q130" i="1"/>
  <c r="P130" i="1"/>
  <c r="O130" i="1"/>
  <c r="N130" i="1"/>
  <c r="M130" i="1"/>
  <c r="L130" i="1"/>
  <c r="K130" i="1"/>
  <c r="J130" i="1"/>
  <c r="I130" i="1"/>
  <c r="H130" i="1"/>
  <c r="Q59" i="1"/>
  <c r="P59" i="1"/>
  <c r="O59" i="1"/>
  <c r="N59" i="1"/>
  <c r="M59" i="1"/>
  <c r="L59" i="1"/>
  <c r="K59" i="1"/>
  <c r="J59" i="1"/>
  <c r="I59" i="1"/>
  <c r="H59" i="1"/>
  <c r="Q58" i="1"/>
  <c r="P58" i="1"/>
  <c r="O58" i="1"/>
  <c r="N58" i="1"/>
  <c r="M58" i="1"/>
  <c r="L58" i="1"/>
  <c r="K58" i="1"/>
  <c r="J58" i="1"/>
  <c r="I58" i="1"/>
  <c r="H58" i="1"/>
  <c r="Q57" i="1"/>
  <c r="P57" i="1"/>
  <c r="O57" i="1"/>
  <c r="N57" i="1"/>
  <c r="M57" i="1"/>
  <c r="L57" i="1"/>
  <c r="K57" i="1"/>
  <c r="J57" i="1"/>
  <c r="I57" i="1"/>
  <c r="H57" i="1"/>
  <c r="Q56" i="1"/>
  <c r="P56" i="1"/>
  <c r="O56" i="1"/>
  <c r="N56" i="1"/>
  <c r="M56" i="1"/>
  <c r="L56" i="1"/>
  <c r="K56" i="1"/>
  <c r="J56" i="1"/>
  <c r="I56" i="1"/>
  <c r="H56" i="1"/>
  <c r="Q55" i="1"/>
  <c r="P55" i="1"/>
  <c r="O55" i="1"/>
  <c r="N55" i="1"/>
  <c r="M55" i="1"/>
  <c r="L55" i="1"/>
  <c r="K55" i="1"/>
  <c r="J55" i="1"/>
  <c r="I55" i="1"/>
  <c r="H55" i="1"/>
  <c r="Q54" i="1"/>
  <c r="P54" i="1"/>
  <c r="O54" i="1"/>
  <c r="N54" i="1"/>
  <c r="M54" i="1"/>
  <c r="L54" i="1"/>
  <c r="K54" i="1"/>
  <c r="J54" i="1"/>
  <c r="I54" i="1"/>
  <c r="H54" i="1"/>
  <c r="Q53" i="1"/>
  <c r="P53" i="1"/>
  <c r="O53" i="1"/>
  <c r="N53" i="1"/>
  <c r="M53" i="1"/>
  <c r="L53" i="1"/>
  <c r="K53" i="1"/>
  <c r="J53" i="1"/>
  <c r="I53" i="1"/>
  <c r="H53" i="1"/>
  <c r="Q52" i="1"/>
  <c r="P52" i="1"/>
  <c r="O52" i="1"/>
  <c r="N52" i="1"/>
  <c r="M52" i="1"/>
  <c r="L52" i="1"/>
  <c r="K52" i="1"/>
  <c r="J52" i="1"/>
  <c r="I52" i="1"/>
  <c r="H52" i="1"/>
  <c r="Q51" i="1"/>
  <c r="P51" i="1"/>
  <c r="O51" i="1"/>
  <c r="N51" i="1"/>
  <c r="M51" i="1"/>
  <c r="L51" i="1"/>
  <c r="K51" i="1"/>
  <c r="J51" i="1"/>
  <c r="I51" i="1"/>
  <c r="H51" i="1"/>
  <c r="Q50" i="1"/>
  <c r="P50" i="1"/>
  <c r="O50" i="1"/>
  <c r="N50" i="1"/>
  <c r="M50" i="1"/>
  <c r="L50" i="1"/>
  <c r="K50" i="1"/>
  <c r="J50" i="1"/>
  <c r="I50" i="1"/>
  <c r="H50" i="1"/>
  <c r="Q49" i="1"/>
  <c r="P49" i="1"/>
  <c r="O49" i="1"/>
  <c r="N49" i="1"/>
  <c r="M49" i="1"/>
  <c r="L49" i="1"/>
  <c r="K49" i="1"/>
  <c r="J49" i="1"/>
  <c r="I49" i="1"/>
  <c r="H49" i="1"/>
  <c r="Q48" i="1"/>
  <c r="P48" i="1"/>
  <c r="O48" i="1"/>
  <c r="N48" i="1"/>
  <c r="M48" i="1"/>
  <c r="L48" i="1"/>
  <c r="K48" i="1"/>
  <c r="J48" i="1"/>
  <c r="I48" i="1"/>
  <c r="H48" i="1"/>
  <c r="Q47" i="1"/>
  <c r="P47" i="1"/>
  <c r="O47" i="1"/>
  <c r="N47" i="1"/>
  <c r="M47" i="1"/>
  <c r="L47" i="1"/>
  <c r="K47" i="1"/>
  <c r="J47" i="1"/>
  <c r="I47" i="1"/>
  <c r="H47" i="1"/>
  <c r="Q46" i="1"/>
  <c r="P46" i="1"/>
  <c r="O46" i="1"/>
  <c r="N46" i="1"/>
  <c r="M46" i="1"/>
  <c r="L46" i="1"/>
  <c r="K46" i="1"/>
  <c r="J46" i="1"/>
  <c r="I46" i="1"/>
  <c r="H46" i="1"/>
  <c r="Q29" i="1"/>
  <c r="P29" i="1"/>
  <c r="O29" i="1"/>
  <c r="N29" i="1"/>
  <c r="M29" i="1"/>
  <c r="L29" i="1"/>
  <c r="K29" i="1"/>
  <c r="J29" i="1"/>
  <c r="I29" i="1"/>
  <c r="H29" i="1"/>
  <c r="Q28" i="1"/>
  <c r="P28" i="1"/>
  <c r="O28" i="1"/>
  <c r="N28" i="1"/>
  <c r="M28" i="1"/>
  <c r="L28" i="1"/>
  <c r="K28" i="1"/>
  <c r="J28" i="1"/>
  <c r="I28" i="1"/>
  <c r="H28" i="1"/>
  <c r="Q27" i="1"/>
  <c r="P27" i="1"/>
  <c r="O27" i="1"/>
  <c r="N27" i="1"/>
  <c r="M27" i="1"/>
  <c r="L27" i="1"/>
  <c r="K27" i="1"/>
  <c r="J27" i="1"/>
  <c r="I27" i="1"/>
  <c r="H27" i="1"/>
  <c r="Q26" i="1"/>
  <c r="P26" i="1"/>
  <c r="O26" i="1"/>
  <c r="N26" i="1"/>
  <c r="M26" i="1"/>
  <c r="L26" i="1"/>
  <c r="K26" i="1"/>
  <c r="J26" i="1"/>
  <c r="I26" i="1"/>
  <c r="H26" i="1"/>
  <c r="Q25" i="1"/>
  <c r="P25" i="1"/>
  <c r="O25" i="1"/>
  <c r="N25" i="1"/>
  <c r="M25" i="1"/>
  <c r="L25" i="1"/>
  <c r="K25" i="1"/>
  <c r="J25" i="1"/>
  <c r="I25" i="1"/>
  <c r="H25" i="1"/>
  <c r="Q24" i="1"/>
  <c r="P24" i="1"/>
  <c r="O24" i="1"/>
  <c r="N24" i="1"/>
  <c r="M24" i="1"/>
  <c r="L24" i="1"/>
  <c r="K24" i="1"/>
  <c r="J24" i="1"/>
  <c r="I24" i="1"/>
  <c r="H24" i="1"/>
  <c r="Q23" i="1"/>
  <c r="P23" i="1"/>
  <c r="O23" i="1"/>
  <c r="N23" i="1"/>
  <c r="M23" i="1"/>
  <c r="L23" i="1"/>
  <c r="K23" i="1"/>
  <c r="J23" i="1"/>
  <c r="I23" i="1"/>
  <c r="H23" i="1"/>
  <c r="Q22" i="1"/>
  <c r="P22" i="1"/>
  <c r="O22" i="1"/>
  <c r="N22" i="1"/>
  <c r="M22" i="1"/>
  <c r="L22" i="1"/>
  <c r="K22" i="1"/>
  <c r="J22" i="1"/>
  <c r="I22" i="1"/>
  <c r="H22" i="1"/>
  <c r="Q21" i="1"/>
  <c r="P21" i="1"/>
  <c r="O21" i="1"/>
  <c r="N21" i="1"/>
  <c r="M21" i="1"/>
  <c r="L21" i="1"/>
  <c r="K21" i="1"/>
  <c r="J21" i="1"/>
  <c r="I21" i="1"/>
  <c r="H21" i="1"/>
  <c r="Q20" i="1"/>
  <c r="P20" i="1"/>
  <c r="O20" i="1"/>
  <c r="N20" i="1"/>
  <c r="M20" i="1"/>
  <c r="L20" i="1"/>
  <c r="K20" i="1"/>
  <c r="J20" i="1"/>
  <c r="I20" i="1"/>
  <c r="H20" i="1"/>
  <c r="Q19" i="1"/>
  <c r="P19" i="1"/>
  <c r="O19" i="1"/>
  <c r="N19" i="1"/>
  <c r="M19" i="1"/>
  <c r="L19" i="1"/>
  <c r="K19" i="1"/>
  <c r="J19" i="1"/>
  <c r="I19" i="1"/>
  <c r="H19" i="1"/>
  <c r="Q18" i="1"/>
  <c r="P18" i="1"/>
  <c r="O18" i="1"/>
  <c r="N18" i="1"/>
  <c r="M18" i="1"/>
  <c r="L18" i="1"/>
  <c r="K18" i="1"/>
  <c r="J18" i="1"/>
  <c r="I18" i="1"/>
  <c r="H18" i="1"/>
  <c r="Q17" i="1"/>
  <c r="P17" i="1"/>
  <c r="O17" i="1"/>
  <c r="N17" i="1"/>
  <c r="M17" i="1"/>
  <c r="L17" i="1"/>
  <c r="K17" i="1"/>
  <c r="J17" i="1"/>
  <c r="I17" i="1"/>
  <c r="H17" i="1"/>
  <c r="Q16" i="1"/>
  <c r="P16" i="1"/>
  <c r="O16" i="1"/>
  <c r="N16" i="1"/>
  <c r="M16" i="1"/>
  <c r="L16" i="1"/>
  <c r="K16" i="1"/>
  <c r="J16" i="1"/>
  <c r="I16" i="1"/>
  <c r="H16" i="1"/>
  <c r="Q15" i="1"/>
  <c r="P15" i="1"/>
  <c r="O15" i="1"/>
  <c r="N15" i="1"/>
  <c r="M15" i="1"/>
  <c r="L15" i="1"/>
  <c r="K15" i="1"/>
  <c r="J15" i="1"/>
  <c r="I15" i="1"/>
  <c r="H15" i="1"/>
  <c r="Q14" i="1"/>
  <c r="P14" i="1"/>
  <c r="O14" i="1"/>
  <c r="N14" i="1"/>
  <c r="M14" i="1"/>
  <c r="L14" i="1"/>
  <c r="K14" i="1"/>
  <c r="J14" i="1"/>
  <c r="I14" i="1"/>
  <c r="H14" i="1"/>
  <c r="Q13" i="1"/>
  <c r="P13" i="1"/>
  <c r="O13" i="1"/>
  <c r="N13" i="1"/>
  <c r="M13" i="1"/>
  <c r="L13" i="1"/>
  <c r="K13" i="1"/>
  <c r="J13" i="1"/>
  <c r="I13" i="1"/>
  <c r="H13" i="1"/>
  <c r="Q12" i="1"/>
  <c r="P12" i="1"/>
  <c r="O12" i="1"/>
  <c r="N12" i="1"/>
  <c r="M12" i="1"/>
  <c r="L12" i="1"/>
  <c r="K12" i="1"/>
  <c r="J12" i="1"/>
  <c r="I12" i="1"/>
  <c r="H12" i="1"/>
  <c r="B6" i="36" l="1"/>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5" i="36"/>
  <c r="A13" i="1" l="1"/>
  <c r="A14" i="1" s="1"/>
  <c r="A15" i="1" s="1"/>
  <c r="A16" i="1" s="1"/>
  <c r="A17" i="1" s="1"/>
  <c r="A18" i="1" s="1"/>
  <c r="A19" i="1" s="1"/>
  <c r="A20" i="1" s="1"/>
  <c r="A21" i="1" s="1"/>
  <c r="A22" i="1" s="1"/>
  <c r="A23" i="1" s="1"/>
  <c r="A24" i="1" s="1"/>
  <c r="A25" i="1" s="1"/>
  <c r="A26" i="1" s="1"/>
  <c r="A27" i="1" s="1"/>
  <c r="A28" i="1" s="1"/>
  <c r="A29" i="1" s="1"/>
  <c r="G50" i="26" l="1"/>
  <c r="J49" i="26"/>
  <c r="I49" i="26"/>
  <c r="G49" i="26"/>
  <c r="J47" i="26"/>
  <c r="I47" i="26"/>
  <c r="H47" i="26"/>
  <c r="G47" i="26"/>
  <c r="I45" i="26"/>
  <c r="H45" i="26"/>
  <c r="G45" i="26"/>
  <c r="I44" i="26"/>
  <c r="I43" i="26"/>
  <c r="H43" i="26"/>
  <c r="G43" i="26"/>
  <c r="J41" i="26"/>
  <c r="I41" i="26"/>
  <c r="H41" i="26"/>
  <c r="G41" i="26"/>
  <c r="J39" i="26"/>
  <c r="I39" i="26"/>
  <c r="H39" i="26"/>
  <c r="G39" i="26"/>
  <c r="I37" i="26"/>
  <c r="G37" i="26"/>
  <c r="I36" i="26"/>
  <c r="G36" i="26"/>
  <c r="I35" i="26"/>
  <c r="H35" i="26"/>
  <c r="G35" i="26"/>
  <c r="G34" i="26"/>
  <c r="J33" i="26"/>
  <c r="I33" i="26"/>
  <c r="G33" i="26"/>
  <c r="J31" i="26"/>
  <c r="I31" i="26"/>
  <c r="H31" i="26"/>
  <c r="G31" i="26"/>
  <c r="I29" i="26"/>
  <c r="H29" i="26"/>
  <c r="G29" i="26"/>
  <c r="I28" i="26"/>
  <c r="J27" i="26"/>
  <c r="I27" i="26"/>
  <c r="H27" i="26"/>
  <c r="G27" i="26"/>
  <c r="J25" i="26"/>
  <c r="I25" i="26"/>
  <c r="H25" i="26"/>
  <c r="G25" i="26"/>
  <c r="J23" i="26"/>
  <c r="I23" i="26"/>
  <c r="H23" i="26"/>
  <c r="G23" i="26"/>
  <c r="I21" i="26"/>
  <c r="G21" i="26"/>
  <c r="I20" i="26"/>
  <c r="G20" i="26"/>
  <c r="J19" i="26"/>
  <c r="I19" i="26"/>
  <c r="H19" i="26"/>
  <c r="G19" i="26"/>
  <c r="G18" i="26"/>
  <c r="J17" i="26"/>
  <c r="I17" i="26"/>
  <c r="G17" i="26"/>
  <c r="J15" i="26"/>
  <c r="I15" i="26"/>
  <c r="H15" i="26"/>
  <c r="G15" i="26"/>
  <c r="I13" i="26"/>
  <c r="H13" i="26"/>
  <c r="G13" i="26"/>
  <c r="I12" i="26"/>
  <c r="J11" i="26"/>
  <c r="I11" i="26"/>
  <c r="H11" i="26"/>
  <c r="G11" i="26"/>
  <c r="J9" i="26"/>
  <c r="I9" i="26"/>
  <c r="H9" i="26"/>
  <c r="G9" i="26"/>
  <c r="I78" i="26"/>
  <c r="J77" i="26"/>
  <c r="H77" i="26"/>
  <c r="G77" i="26"/>
  <c r="I76" i="26"/>
  <c r="G76" i="26"/>
  <c r="J75" i="26"/>
  <c r="G75" i="26"/>
  <c r="I74" i="26"/>
  <c r="G74" i="26"/>
  <c r="J73" i="26"/>
  <c r="G73" i="26"/>
  <c r="I72" i="26"/>
  <c r="H72" i="26"/>
  <c r="J71" i="26"/>
  <c r="H71" i="26"/>
  <c r="G71" i="26"/>
  <c r="I70" i="26"/>
  <c r="J69" i="26"/>
  <c r="H69" i="26"/>
  <c r="G69" i="26"/>
  <c r="I68" i="26"/>
  <c r="G68" i="26"/>
  <c r="J67" i="26"/>
  <c r="G67" i="26"/>
  <c r="I66" i="26"/>
  <c r="G66" i="26"/>
  <c r="J65" i="26"/>
  <c r="G65" i="26"/>
  <c r="I64" i="26"/>
  <c r="H64" i="26"/>
  <c r="J63" i="26"/>
  <c r="H63" i="26"/>
  <c r="G63" i="26"/>
  <c r="I62" i="26"/>
  <c r="J61" i="26"/>
  <c r="H61" i="26"/>
  <c r="G61" i="26"/>
  <c r="I60" i="26"/>
  <c r="G60" i="26"/>
  <c r="J59" i="26"/>
  <c r="G59" i="26"/>
  <c r="I58" i="26"/>
  <c r="G58" i="26"/>
  <c r="E103" i="26" s="1"/>
  <c r="J57" i="26"/>
  <c r="G57" i="26"/>
  <c r="I56" i="26"/>
  <c r="H56" i="26"/>
  <c r="J55" i="26"/>
  <c r="H55" i="26"/>
  <c r="G55" i="26"/>
  <c r="I54" i="26"/>
  <c r="J53" i="26"/>
  <c r="H53" i="26"/>
  <c r="G53" i="26"/>
  <c r="I52" i="26"/>
  <c r="G52" i="26"/>
  <c r="J51" i="26"/>
  <c r="G51" i="26"/>
  <c r="D156" i="26"/>
  <c r="D157" i="26"/>
  <c r="D155" i="26"/>
  <c r="D98" i="26"/>
  <c r="D99" i="26"/>
  <c r="D100" i="26"/>
  <c r="D101" i="26"/>
  <c r="D102" i="26"/>
  <c r="D103" i="26"/>
  <c r="D97" i="26"/>
  <c r="I10" i="26"/>
  <c r="J10" i="26"/>
  <c r="J12" i="26"/>
  <c r="J13" i="26"/>
  <c r="I14" i="26"/>
  <c r="J14" i="26"/>
  <c r="I16" i="26"/>
  <c r="J16" i="26"/>
  <c r="I18" i="26"/>
  <c r="J18" i="26"/>
  <c r="J20" i="26"/>
  <c r="J21" i="26"/>
  <c r="I22" i="26"/>
  <c r="J22" i="26"/>
  <c r="I24" i="26"/>
  <c r="J24" i="26"/>
  <c r="I26" i="26"/>
  <c r="J26" i="26"/>
  <c r="J28" i="26"/>
  <c r="J29" i="26"/>
  <c r="I30" i="26"/>
  <c r="J30" i="26"/>
  <c r="I32" i="26"/>
  <c r="J32" i="26"/>
  <c r="I34" i="26"/>
  <c r="J34" i="26"/>
  <c r="J35" i="26"/>
  <c r="J36" i="26"/>
  <c r="J37" i="26"/>
  <c r="I38" i="26"/>
  <c r="J38" i="26"/>
  <c r="I40" i="26"/>
  <c r="J40" i="26"/>
  <c r="I42" i="26"/>
  <c r="J42" i="26"/>
  <c r="J43" i="26"/>
  <c r="J44" i="26"/>
  <c r="J45" i="26"/>
  <c r="I46" i="26"/>
  <c r="J46" i="26"/>
  <c r="I48" i="26"/>
  <c r="J48" i="26"/>
  <c r="I50" i="26"/>
  <c r="J50" i="26"/>
  <c r="I51" i="26"/>
  <c r="J52" i="26"/>
  <c r="I53" i="26"/>
  <c r="J54" i="26"/>
  <c r="I55" i="26"/>
  <c r="J56" i="26"/>
  <c r="I57" i="26"/>
  <c r="J58" i="26"/>
  <c r="I59" i="26"/>
  <c r="J60" i="26"/>
  <c r="I61" i="26"/>
  <c r="J62" i="26"/>
  <c r="I63" i="26"/>
  <c r="J64" i="26"/>
  <c r="I65" i="26"/>
  <c r="J66" i="26"/>
  <c r="I67" i="26"/>
  <c r="J68" i="26"/>
  <c r="I69" i="26"/>
  <c r="J70" i="26"/>
  <c r="I71" i="26"/>
  <c r="J72" i="26"/>
  <c r="I73" i="26"/>
  <c r="J74" i="26"/>
  <c r="I75" i="26"/>
  <c r="J76" i="26"/>
  <c r="I77" i="26"/>
  <c r="J78" i="26"/>
  <c r="I79" i="26"/>
  <c r="J79" i="26"/>
  <c r="I80" i="26"/>
  <c r="J80" i="26"/>
  <c r="I81" i="26"/>
  <c r="J81" i="26"/>
  <c r="I82" i="26"/>
  <c r="J82" i="26"/>
  <c r="I83" i="26"/>
  <c r="J83" i="26"/>
  <c r="I84" i="26"/>
  <c r="J84" i="26"/>
  <c r="I85" i="26"/>
  <c r="J85" i="26"/>
  <c r="B9" i="26"/>
  <c r="C9" i="26"/>
  <c r="D9" i="26"/>
  <c r="E9" i="26"/>
  <c r="F9" i="26"/>
  <c r="B10" i="26"/>
  <c r="C10" i="26"/>
  <c r="D10" i="26"/>
  <c r="E10" i="26"/>
  <c r="F10" i="26"/>
  <c r="G10" i="26"/>
  <c r="H10" i="26"/>
  <c r="B11" i="26"/>
  <c r="C11" i="26"/>
  <c r="D11" i="26"/>
  <c r="E11" i="26"/>
  <c r="F11" i="26"/>
  <c r="B12" i="26"/>
  <c r="C12" i="26"/>
  <c r="D12" i="26"/>
  <c r="E12" i="26"/>
  <c r="F12" i="26"/>
  <c r="G12" i="26"/>
  <c r="H12" i="26"/>
  <c r="B13" i="26"/>
  <c r="C13" i="26"/>
  <c r="D13" i="26"/>
  <c r="E13" i="26"/>
  <c r="F13" i="26"/>
  <c r="B14" i="26"/>
  <c r="C14" i="26"/>
  <c r="D14" i="26"/>
  <c r="E14" i="26"/>
  <c r="F14" i="26"/>
  <c r="G14" i="26"/>
  <c r="H14" i="26"/>
  <c r="B15" i="26"/>
  <c r="C15" i="26"/>
  <c r="D15" i="26"/>
  <c r="E15" i="26"/>
  <c r="F15" i="26"/>
  <c r="B16" i="26"/>
  <c r="C16" i="26"/>
  <c r="D16" i="26"/>
  <c r="E16" i="26"/>
  <c r="F16" i="26"/>
  <c r="G16" i="26"/>
  <c r="H16" i="26"/>
  <c r="B17" i="26"/>
  <c r="C17" i="26"/>
  <c r="D17" i="26"/>
  <c r="E17" i="26"/>
  <c r="F17" i="26"/>
  <c r="H17" i="26"/>
  <c r="B18" i="26"/>
  <c r="C18" i="26"/>
  <c r="D18" i="26"/>
  <c r="E18" i="26"/>
  <c r="F18" i="26"/>
  <c r="H18" i="26"/>
  <c r="B19" i="26"/>
  <c r="C19" i="26"/>
  <c r="D19" i="26"/>
  <c r="E19" i="26"/>
  <c r="F19" i="26"/>
  <c r="B20" i="26"/>
  <c r="C20" i="26"/>
  <c r="D20" i="26"/>
  <c r="E20" i="26"/>
  <c r="F20" i="26"/>
  <c r="H20" i="26"/>
  <c r="B21" i="26"/>
  <c r="C21" i="26"/>
  <c r="D21" i="26"/>
  <c r="E21" i="26"/>
  <c r="F21" i="26"/>
  <c r="H21" i="26"/>
  <c r="B22" i="26"/>
  <c r="C22" i="26"/>
  <c r="D22" i="26"/>
  <c r="E22" i="26"/>
  <c r="F22" i="26"/>
  <c r="G22" i="26"/>
  <c r="H22" i="26"/>
  <c r="B23" i="26"/>
  <c r="C23" i="26"/>
  <c r="D23" i="26"/>
  <c r="E23" i="26"/>
  <c r="F23" i="26"/>
  <c r="B24" i="26"/>
  <c r="C24" i="26"/>
  <c r="D24" i="26"/>
  <c r="E24" i="26"/>
  <c r="F24" i="26"/>
  <c r="G24" i="26"/>
  <c r="H24" i="26"/>
  <c r="B25" i="26"/>
  <c r="C25" i="26"/>
  <c r="D25" i="26"/>
  <c r="E25" i="26"/>
  <c r="F25" i="26"/>
  <c r="B26" i="26"/>
  <c r="C26" i="26"/>
  <c r="D26" i="26"/>
  <c r="E26" i="26"/>
  <c r="F26" i="26"/>
  <c r="G26" i="26"/>
  <c r="H26" i="26"/>
  <c r="B27" i="26"/>
  <c r="C27" i="26"/>
  <c r="D27" i="26"/>
  <c r="E27" i="26"/>
  <c r="F27" i="26"/>
  <c r="B28" i="26"/>
  <c r="C28" i="26"/>
  <c r="D28" i="26"/>
  <c r="E28" i="26"/>
  <c r="F28" i="26"/>
  <c r="G28" i="26"/>
  <c r="H28" i="26"/>
  <c r="B29" i="26"/>
  <c r="C29" i="26"/>
  <c r="D29" i="26"/>
  <c r="E29" i="26"/>
  <c r="F29" i="26"/>
  <c r="B30" i="26"/>
  <c r="C30" i="26"/>
  <c r="D30" i="26"/>
  <c r="E30" i="26"/>
  <c r="F30" i="26"/>
  <c r="G30" i="26"/>
  <c r="H30" i="26"/>
  <c r="B31" i="26"/>
  <c r="C31" i="26"/>
  <c r="D31" i="26"/>
  <c r="E31" i="26"/>
  <c r="F31" i="26"/>
  <c r="B32" i="26"/>
  <c r="C32" i="26"/>
  <c r="D32" i="26"/>
  <c r="E32" i="26"/>
  <c r="F32" i="26"/>
  <c r="G32" i="26"/>
  <c r="H32" i="26"/>
  <c r="B33" i="26"/>
  <c r="C33" i="26"/>
  <c r="D33" i="26"/>
  <c r="E33" i="26"/>
  <c r="F33" i="26"/>
  <c r="H33" i="26"/>
  <c r="B34" i="26"/>
  <c r="C34" i="26"/>
  <c r="D34" i="26"/>
  <c r="E34" i="26"/>
  <c r="F34" i="26"/>
  <c r="H34" i="26"/>
  <c r="B35" i="26"/>
  <c r="C35" i="26"/>
  <c r="D35" i="26"/>
  <c r="E35" i="26"/>
  <c r="F35" i="26"/>
  <c r="B36" i="26"/>
  <c r="C36" i="26"/>
  <c r="D36" i="26"/>
  <c r="E36" i="26"/>
  <c r="F36" i="26"/>
  <c r="H36" i="26"/>
  <c r="B37" i="26"/>
  <c r="C37" i="26"/>
  <c r="D37" i="26"/>
  <c r="E37" i="26"/>
  <c r="F37" i="26"/>
  <c r="H37" i="26"/>
  <c r="B38" i="26"/>
  <c r="C38" i="26"/>
  <c r="D38" i="26"/>
  <c r="E38" i="26"/>
  <c r="F38" i="26"/>
  <c r="G38" i="26"/>
  <c r="H38" i="26"/>
  <c r="B39" i="26"/>
  <c r="C39" i="26"/>
  <c r="D39" i="26"/>
  <c r="E39" i="26"/>
  <c r="F39" i="26"/>
  <c r="B40" i="26"/>
  <c r="C40" i="26"/>
  <c r="D40" i="26"/>
  <c r="E40" i="26"/>
  <c r="F40" i="26"/>
  <c r="G40" i="26"/>
  <c r="H40" i="26"/>
  <c r="B41" i="26"/>
  <c r="C41" i="26"/>
  <c r="D41" i="26"/>
  <c r="E41" i="26"/>
  <c r="F41" i="26"/>
  <c r="B42" i="26"/>
  <c r="C42" i="26"/>
  <c r="D42" i="26"/>
  <c r="E42" i="26"/>
  <c r="F42" i="26"/>
  <c r="G42" i="26"/>
  <c r="H42" i="26"/>
  <c r="B43" i="26"/>
  <c r="C43" i="26"/>
  <c r="D43" i="26"/>
  <c r="E43" i="26"/>
  <c r="F43" i="26"/>
  <c r="B44" i="26"/>
  <c r="C44" i="26"/>
  <c r="D44" i="26"/>
  <c r="E44" i="26"/>
  <c r="F44" i="26"/>
  <c r="G44" i="26"/>
  <c r="H44" i="26"/>
  <c r="B45" i="26"/>
  <c r="C45" i="26"/>
  <c r="D45" i="26"/>
  <c r="E45" i="26"/>
  <c r="F45" i="26"/>
  <c r="B46" i="26"/>
  <c r="C46" i="26"/>
  <c r="D46" i="26"/>
  <c r="E46" i="26"/>
  <c r="F46" i="26"/>
  <c r="G46" i="26"/>
  <c r="H46" i="26"/>
  <c r="B47" i="26"/>
  <c r="C47" i="26"/>
  <c r="D47" i="26"/>
  <c r="E47" i="26"/>
  <c r="F47" i="26"/>
  <c r="B48" i="26"/>
  <c r="C48" i="26"/>
  <c r="D48" i="26"/>
  <c r="E48" i="26"/>
  <c r="F48" i="26"/>
  <c r="G48" i="26"/>
  <c r="H48" i="26"/>
  <c r="B49" i="26"/>
  <c r="C49" i="26"/>
  <c r="D49" i="26"/>
  <c r="E49" i="26"/>
  <c r="F49" i="26"/>
  <c r="H49" i="26"/>
  <c r="B50" i="26"/>
  <c r="C50" i="26"/>
  <c r="D50" i="26"/>
  <c r="E50" i="26"/>
  <c r="F50" i="26"/>
  <c r="H50" i="26"/>
  <c r="B51" i="26"/>
  <c r="C51" i="26"/>
  <c r="D51" i="26"/>
  <c r="E51" i="26"/>
  <c r="F51" i="26"/>
  <c r="H51" i="26"/>
  <c r="B52" i="26"/>
  <c r="C52" i="26"/>
  <c r="D52" i="26"/>
  <c r="E52" i="26"/>
  <c r="F52" i="26"/>
  <c r="H52" i="26"/>
  <c r="B53" i="26"/>
  <c r="C53" i="26"/>
  <c r="D53" i="26"/>
  <c r="E53" i="26"/>
  <c r="F53" i="26"/>
  <c r="B54" i="26"/>
  <c r="C54" i="26"/>
  <c r="D54" i="26"/>
  <c r="E54" i="26"/>
  <c r="F54" i="26"/>
  <c r="G54" i="26"/>
  <c r="H54" i="26"/>
  <c r="B55" i="26"/>
  <c r="C55" i="26"/>
  <c r="D55" i="26"/>
  <c r="E55" i="26"/>
  <c r="F55" i="26"/>
  <c r="B56" i="26"/>
  <c r="C56" i="26"/>
  <c r="D56" i="26"/>
  <c r="E56" i="26"/>
  <c r="F56" i="26"/>
  <c r="G56" i="26"/>
  <c r="B57" i="26"/>
  <c r="C57" i="26"/>
  <c r="D57" i="26"/>
  <c r="E57" i="26"/>
  <c r="F57" i="26"/>
  <c r="H57" i="26"/>
  <c r="B58" i="26"/>
  <c r="C58" i="26"/>
  <c r="D58" i="26"/>
  <c r="E58" i="26"/>
  <c r="F58" i="26"/>
  <c r="H58" i="26"/>
  <c r="B59" i="26"/>
  <c r="C59" i="26"/>
  <c r="D59" i="26"/>
  <c r="E59" i="26"/>
  <c r="F59" i="26"/>
  <c r="H59" i="26"/>
  <c r="B60" i="26"/>
  <c r="C60" i="26"/>
  <c r="D60" i="26"/>
  <c r="E60" i="26"/>
  <c r="F60" i="26"/>
  <c r="H60" i="26"/>
  <c r="B61" i="26"/>
  <c r="C61" i="26"/>
  <c r="D61" i="26"/>
  <c r="E61" i="26"/>
  <c r="F61" i="26"/>
  <c r="B62" i="26"/>
  <c r="C62" i="26"/>
  <c r="D62" i="26"/>
  <c r="E62" i="26"/>
  <c r="F62" i="26"/>
  <c r="G62" i="26"/>
  <c r="H62" i="26"/>
  <c r="B63" i="26"/>
  <c r="C63" i="26"/>
  <c r="D63" i="26"/>
  <c r="E63" i="26"/>
  <c r="F63" i="26"/>
  <c r="B64" i="26"/>
  <c r="C64" i="26"/>
  <c r="D64" i="26"/>
  <c r="E64" i="26"/>
  <c r="F64" i="26"/>
  <c r="G64" i="26"/>
  <c r="B65" i="26"/>
  <c r="C65" i="26"/>
  <c r="D65" i="26"/>
  <c r="E65" i="26"/>
  <c r="F65" i="26"/>
  <c r="H65" i="26"/>
  <c r="B66" i="26"/>
  <c r="C66" i="26"/>
  <c r="D66" i="26"/>
  <c r="E66" i="26"/>
  <c r="F66" i="26"/>
  <c r="H66" i="26"/>
  <c r="B67" i="26"/>
  <c r="C67" i="26"/>
  <c r="D67" i="26"/>
  <c r="E67" i="26"/>
  <c r="F67" i="26"/>
  <c r="H67" i="26"/>
  <c r="B68" i="26"/>
  <c r="C68" i="26"/>
  <c r="D68" i="26"/>
  <c r="E68" i="26"/>
  <c r="F68" i="26"/>
  <c r="H68" i="26"/>
  <c r="B69" i="26"/>
  <c r="C69" i="26"/>
  <c r="D69" i="26"/>
  <c r="E69" i="26"/>
  <c r="F69" i="26"/>
  <c r="B70" i="26"/>
  <c r="C70" i="26"/>
  <c r="D70" i="26"/>
  <c r="E70" i="26"/>
  <c r="F70" i="26"/>
  <c r="G70" i="26"/>
  <c r="H70" i="26"/>
  <c r="B71" i="26"/>
  <c r="C71" i="26"/>
  <c r="D71" i="26"/>
  <c r="E71" i="26"/>
  <c r="F71" i="26"/>
  <c r="B72" i="26"/>
  <c r="C72" i="26"/>
  <c r="D72" i="26"/>
  <c r="E72" i="26"/>
  <c r="F72" i="26"/>
  <c r="G72" i="26"/>
  <c r="B73" i="26"/>
  <c r="C73" i="26"/>
  <c r="D73" i="26"/>
  <c r="E73" i="26"/>
  <c r="F73" i="26"/>
  <c r="H73" i="26"/>
  <c r="B74" i="26"/>
  <c r="C74" i="26"/>
  <c r="D74" i="26"/>
  <c r="E74" i="26"/>
  <c r="F74" i="26"/>
  <c r="H74" i="26"/>
  <c r="B75" i="26"/>
  <c r="C75" i="26"/>
  <c r="D75" i="26"/>
  <c r="E75" i="26"/>
  <c r="F75" i="26"/>
  <c r="H75" i="26"/>
  <c r="B76" i="26"/>
  <c r="C76" i="26"/>
  <c r="D76" i="26"/>
  <c r="E76" i="26"/>
  <c r="F76" i="26"/>
  <c r="H76" i="26"/>
  <c r="B77" i="26"/>
  <c r="C77" i="26"/>
  <c r="D77" i="26"/>
  <c r="E77" i="26"/>
  <c r="F77" i="26"/>
  <c r="B78" i="26"/>
  <c r="C78" i="26"/>
  <c r="D78" i="26"/>
  <c r="E78" i="26"/>
  <c r="F78" i="26"/>
  <c r="G78" i="26"/>
  <c r="H78" i="26"/>
  <c r="B79" i="26"/>
  <c r="C79" i="26"/>
  <c r="D79" i="26"/>
  <c r="E79" i="26"/>
  <c r="F79" i="26"/>
  <c r="G79" i="26"/>
  <c r="H79" i="26"/>
  <c r="B80" i="26"/>
  <c r="C80" i="26"/>
  <c r="D80" i="26"/>
  <c r="E80" i="26"/>
  <c r="F80" i="26"/>
  <c r="G80" i="26"/>
  <c r="H80" i="26"/>
  <c r="B81" i="26"/>
  <c r="C81" i="26"/>
  <c r="D81" i="26"/>
  <c r="E81" i="26"/>
  <c r="F81" i="26"/>
  <c r="G81" i="26"/>
  <c r="H81" i="26"/>
  <c r="B82" i="26"/>
  <c r="C82" i="26"/>
  <c r="D82" i="26"/>
  <c r="E82" i="26"/>
  <c r="F82" i="26"/>
  <c r="G82" i="26"/>
  <c r="H82" i="26"/>
  <c r="B83" i="26"/>
  <c r="C83" i="26"/>
  <c r="D83" i="26"/>
  <c r="E83" i="26"/>
  <c r="F83" i="26"/>
  <c r="G83" i="26"/>
  <c r="H83" i="26"/>
  <c r="B84" i="26"/>
  <c r="C84" i="26"/>
  <c r="D84" i="26"/>
  <c r="E84" i="26"/>
  <c r="F84" i="26"/>
  <c r="G84" i="26"/>
  <c r="H84" i="26"/>
  <c r="B85" i="26"/>
  <c r="C85" i="26"/>
  <c r="D85" i="26"/>
  <c r="E85" i="26"/>
  <c r="F85" i="26"/>
  <c r="G85" i="26"/>
  <c r="H85" i="26"/>
  <c r="E155" i="26" l="1"/>
  <c r="E156" i="26"/>
  <c r="E157" i="26"/>
  <c r="G156" i="26"/>
  <c r="F157" i="26"/>
  <c r="F156" i="26"/>
  <c r="H156" i="26"/>
  <c r="G157" i="26"/>
  <c r="F155" i="26"/>
  <c r="H157" i="26"/>
  <c r="G155" i="26"/>
  <c r="H155" i="26"/>
  <c r="P7" i="14" l="1"/>
  <c r="P8" i="14"/>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6" i="14"/>
  <c r="N116" i="26" l="1"/>
  <c r="N117" i="26"/>
  <c r="N115" i="26"/>
  <c r="D158" i="26" l="1"/>
  <c r="N118" i="26"/>
  <c r="D36" i="36" l="1"/>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B37" i="36" l="1"/>
  <c r="D5" i="36"/>
  <c r="D37" i="36" s="1"/>
  <c r="C37" i="36"/>
  <c r="D104" i="26" l="1"/>
  <c r="C12" i="14" l="1"/>
  <c r="C13" i="14"/>
  <c r="C14" i="14"/>
  <c r="C15" i="14"/>
  <c r="C16" i="14"/>
  <c r="C17" i="14"/>
  <c r="C18" i="14"/>
  <c r="C19" i="14"/>
  <c r="C20" i="14"/>
  <c r="C21" i="14"/>
  <c r="C23" i="14"/>
  <c r="C25" i="14"/>
  <c r="C26" i="14"/>
  <c r="C27" i="14"/>
  <c r="C28" i="14"/>
  <c r="C30" i="14"/>
  <c r="C31" i="14"/>
  <c r="C32" i="14"/>
  <c r="C33" i="14"/>
  <c r="C34" i="14"/>
  <c r="C35" i="14"/>
  <c r="C37" i="14"/>
  <c r="C11" i="14"/>
  <c r="C22" i="14" l="1"/>
  <c r="C24" i="14"/>
  <c r="D8" i="14"/>
  <c r="C7" i="14" l="1"/>
  <c r="C8" i="14"/>
  <c r="C29" i="14" l="1"/>
  <c r="C36" i="14"/>
  <c r="C9" i="14"/>
  <c r="C10" i="14"/>
  <c r="F26" i="16" l="1"/>
  <c r="H6" i="14"/>
  <c r="L10" i="16"/>
  <c r="F9" i="14"/>
  <c r="G13" i="27"/>
  <c r="G15" i="27"/>
  <c r="G19" i="27"/>
  <c r="H13" i="27"/>
  <c r="H15" i="27"/>
  <c r="H17" i="27"/>
  <c r="H21" i="27"/>
  <c r="I16" i="14"/>
  <c r="I33" i="14"/>
  <c r="G33" i="14"/>
  <c r="H12" i="14"/>
  <c r="G13" i="14"/>
  <c r="F15" i="14"/>
  <c r="H25" i="14"/>
  <c r="J30" i="14"/>
  <c r="E35" i="14"/>
  <c r="E102" i="26"/>
  <c r="I12" i="14"/>
  <c r="I25" i="14"/>
  <c r="I37" i="14"/>
  <c r="J8" i="14"/>
  <c r="J12" i="14"/>
  <c r="J25" i="14"/>
  <c r="J33" i="14"/>
  <c r="J35" i="14"/>
  <c r="J11" i="27"/>
  <c r="J13" i="27"/>
  <c r="J14" i="27"/>
  <c r="J17" i="27"/>
  <c r="J18" i="27"/>
  <c r="J19" i="27"/>
  <c r="J21" i="27"/>
  <c r="J22" i="27"/>
  <c r="I10" i="27"/>
  <c r="I12" i="27"/>
  <c r="I13" i="27"/>
  <c r="I14" i="27"/>
  <c r="I15" i="27"/>
  <c r="I16" i="27"/>
  <c r="I17" i="27"/>
  <c r="I18" i="27"/>
  <c r="I22" i="27"/>
  <c r="Q5" i="14"/>
  <c r="T12" i="14" s="1"/>
  <c r="M12" i="14" s="1"/>
  <c r="B6" i="14"/>
  <c r="D8" i="16" s="1"/>
  <c r="AB6" i="14"/>
  <c r="B7" i="14"/>
  <c r="D9" i="16" s="1"/>
  <c r="B8" i="14"/>
  <c r="D10" i="16" s="1"/>
  <c r="B9" i="14"/>
  <c r="D11" i="16" s="1"/>
  <c r="B10" i="14"/>
  <c r="B11" i="14"/>
  <c r="D13" i="16" s="1"/>
  <c r="B12" i="14"/>
  <c r="D14" i="16" s="1"/>
  <c r="B13" i="14"/>
  <c r="D15" i="16" s="1"/>
  <c r="B14" i="14"/>
  <c r="D16" i="16" s="1"/>
  <c r="B15" i="14"/>
  <c r="D17" i="16" s="1"/>
  <c r="B16" i="14"/>
  <c r="D18" i="16" s="1"/>
  <c r="B17" i="14"/>
  <c r="D19" i="16" s="1"/>
  <c r="B18" i="14"/>
  <c r="D20" i="16" s="1"/>
  <c r="B19" i="14"/>
  <c r="D21" i="16" s="1"/>
  <c r="B20" i="14"/>
  <c r="D22" i="16" s="1"/>
  <c r="B21" i="14"/>
  <c r="D23" i="16" s="1"/>
  <c r="B22" i="14"/>
  <c r="D24" i="16" s="1"/>
  <c r="B23" i="14"/>
  <c r="D25" i="16" s="1"/>
  <c r="B24" i="14"/>
  <c r="D26" i="16" s="1"/>
  <c r="B25" i="14"/>
  <c r="D27" i="16" s="1"/>
  <c r="B26" i="14"/>
  <c r="D28" i="16" s="1"/>
  <c r="B27" i="14"/>
  <c r="D29" i="16" s="1"/>
  <c r="B28" i="14"/>
  <c r="D30" i="16" s="1"/>
  <c r="B29" i="14"/>
  <c r="D31" i="16" s="1"/>
  <c r="B30" i="14"/>
  <c r="D32" i="16" s="1"/>
  <c r="B31" i="14"/>
  <c r="D33" i="16" s="1"/>
  <c r="B32" i="14"/>
  <c r="D34" i="16" s="1"/>
  <c r="B33" i="14"/>
  <c r="D35" i="16" s="1"/>
  <c r="B34" i="14"/>
  <c r="D36" i="16" s="1"/>
  <c r="B35" i="14"/>
  <c r="D37" i="16" s="1"/>
  <c r="B36" i="14"/>
  <c r="D38" i="16" s="1"/>
  <c r="B37" i="14"/>
  <c r="D39" i="16" s="1"/>
  <c r="G20" i="14"/>
  <c r="F7" i="14"/>
  <c r="D16" i="14"/>
  <c r="E30" i="14"/>
  <c r="D25" i="14"/>
  <c r="I9" i="27"/>
  <c r="J24" i="16"/>
  <c r="J26" i="16"/>
  <c r="F44" i="1"/>
  <c r="H15" i="16"/>
  <c r="K27" i="16"/>
  <c r="D45" i="27"/>
  <c r="D44" i="27"/>
  <c r="D43" i="27"/>
  <c r="J12" i="27"/>
  <c r="J15" i="27"/>
  <c r="J16" i="27"/>
  <c r="J20" i="27"/>
  <c r="G10" i="27"/>
  <c r="G12" i="27"/>
  <c r="H12" i="27"/>
  <c r="G14" i="27"/>
  <c r="H14" i="27"/>
  <c r="G16" i="27"/>
  <c r="H16" i="27"/>
  <c r="G17" i="27"/>
  <c r="G18" i="27"/>
  <c r="G20" i="27"/>
  <c r="H20" i="27"/>
  <c r="G21" i="27"/>
  <c r="G22" i="27"/>
  <c r="H22" i="27"/>
  <c r="K14" i="16"/>
  <c r="G23" i="16"/>
  <c r="B9" i="27"/>
  <c r="B10" i="27"/>
  <c r="B11" i="27"/>
  <c r="B12" i="27"/>
  <c r="B13" i="27"/>
  <c r="B14" i="27"/>
  <c r="I11" i="27"/>
  <c r="I19" i="27"/>
  <c r="I20" i="27"/>
  <c r="I21" i="27"/>
  <c r="B15" i="27"/>
  <c r="B16" i="27"/>
  <c r="B17" i="27"/>
  <c r="B18" i="27"/>
  <c r="B19" i="27"/>
  <c r="B20" i="27"/>
  <c r="B21" i="27"/>
  <c r="B22" i="27"/>
  <c r="E12" i="14"/>
  <c r="D15" i="14"/>
  <c r="K23" i="16"/>
  <c r="F15" i="16"/>
  <c r="G30" i="16"/>
  <c r="G15" i="16"/>
  <c r="H27" i="16"/>
  <c r="K18" i="16"/>
  <c r="G37" i="16"/>
  <c r="G27" i="16"/>
  <c r="G16" i="16"/>
  <c r="L26" i="16"/>
  <c r="K35" i="16"/>
  <c r="L12" i="16"/>
  <c r="H23" i="16"/>
  <c r="H32" i="16"/>
  <c r="K31" i="16"/>
  <c r="E32" i="16"/>
  <c r="H35" i="16"/>
  <c r="H30" i="16"/>
  <c r="E23" i="16"/>
  <c r="H37" i="16"/>
  <c r="H26" i="16"/>
  <c r="K15" i="16"/>
  <c r="K32" i="16"/>
  <c r="K25" i="16"/>
  <c r="K37" i="16"/>
  <c r="K26" i="16"/>
  <c r="K30" i="16"/>
  <c r="L14" i="16"/>
  <c r="L27" i="16"/>
  <c r="E22" i="14"/>
  <c r="E15" i="14"/>
  <c r="D12" i="14"/>
  <c r="F12" i="14"/>
  <c r="H14" i="16"/>
  <c r="G12" i="14"/>
  <c r="D30" i="14"/>
  <c r="D26" i="14"/>
  <c r="F35" i="16"/>
  <c r="L32" i="16"/>
  <c r="H10" i="16"/>
  <c r="G8" i="16"/>
  <c r="F27" i="16"/>
  <c r="G26" i="14"/>
  <c r="F30" i="16"/>
  <c r="F30" i="14"/>
  <c r="F26" i="14"/>
  <c r="E25" i="14"/>
  <c r="F25" i="14"/>
  <c r="G16" i="14"/>
  <c r="G30" i="14"/>
  <c r="D6" i="14"/>
  <c r="G25" i="14"/>
  <c r="F33" i="14"/>
  <c r="F20" i="14"/>
  <c r="O117" i="26" l="1"/>
  <c r="O115" i="26"/>
  <c r="O116" i="26"/>
  <c r="E98" i="26"/>
  <c r="E97" i="26"/>
  <c r="E99" i="26"/>
  <c r="E100" i="26"/>
  <c r="D46" i="27"/>
  <c r="S12" i="14"/>
  <c r="L12" i="14" s="1"/>
  <c r="T26" i="14"/>
  <c r="M26" i="14" s="1"/>
  <c r="R25" i="14"/>
  <c r="K25" i="14" s="1"/>
  <c r="R16" i="14"/>
  <c r="K16" i="14" s="1"/>
  <c r="U13" i="14"/>
  <c r="N13" i="14" s="1"/>
  <c r="S33" i="14"/>
  <c r="L33" i="14" s="1"/>
  <c r="S21" i="14"/>
  <c r="L21" i="14" s="1"/>
  <c r="T16" i="14"/>
  <c r="M16" i="14" s="1"/>
  <c r="T10" i="14"/>
  <c r="M10" i="14" s="1"/>
  <c r="S8" i="14"/>
  <c r="L8" i="14" s="1"/>
  <c r="T6" i="14"/>
  <c r="M6" i="14" s="1"/>
  <c r="L34" i="16"/>
  <c r="L39" i="16"/>
  <c r="K24" i="16"/>
  <c r="J34" i="16"/>
  <c r="E10" i="16"/>
  <c r="K28" i="16"/>
  <c r="U12" i="14"/>
  <c r="N12" i="14" s="1"/>
  <c r="R30" i="14"/>
  <c r="K30" i="14" s="1"/>
  <c r="R12" i="14"/>
  <c r="K12" i="14" s="1"/>
  <c r="S22" i="14"/>
  <c r="L22" i="14" s="1"/>
  <c r="T9" i="14"/>
  <c r="M9" i="14" s="1"/>
  <c r="S17" i="14"/>
  <c r="L17" i="14" s="1"/>
  <c r="D17" i="14"/>
  <c r="E14" i="14"/>
  <c r="T30" i="14"/>
  <c r="M30" i="14" s="1"/>
  <c r="E13" i="14"/>
  <c r="E39" i="16"/>
  <c r="G14" i="16"/>
  <c r="G32" i="16"/>
  <c r="F17" i="14"/>
  <c r="D13" i="14"/>
  <c r="G35" i="16"/>
  <c r="G26" i="16"/>
  <c r="T8" i="14"/>
  <c r="M8" i="14" s="1"/>
  <c r="G29" i="16"/>
  <c r="G21" i="16"/>
  <c r="J22" i="14"/>
  <c r="D35" i="14"/>
  <c r="T15" i="14"/>
  <c r="M15" i="14" s="1"/>
  <c r="S18" i="14"/>
  <c r="L18" i="14" s="1"/>
  <c r="I18" i="14"/>
  <c r="E19" i="14"/>
  <c r="D37" i="14"/>
  <c r="H23" i="14"/>
  <c r="I14" i="14"/>
  <c r="I23" i="14"/>
  <c r="R17" i="14"/>
  <c r="K17" i="14" s="1"/>
  <c r="T13" i="14"/>
  <c r="M13" i="14" s="1"/>
  <c r="U7" i="14"/>
  <c r="N7" i="14" s="1"/>
  <c r="U31" i="14"/>
  <c r="N31" i="14" s="1"/>
  <c r="H13" i="14"/>
  <c r="G22" i="16"/>
  <c r="D21" i="14"/>
  <c r="J9" i="27"/>
  <c r="G31" i="16"/>
  <c r="J14" i="16"/>
  <c r="J21" i="16"/>
  <c r="J19" i="16"/>
  <c r="J37" i="16"/>
  <c r="J27" i="16"/>
  <c r="K10" i="16"/>
  <c r="J35" i="16"/>
  <c r="S26" i="14"/>
  <c r="L26" i="14" s="1"/>
  <c r="K16" i="16"/>
  <c r="U26" i="14"/>
  <c r="N26" i="14" s="1"/>
  <c r="K20" i="16"/>
  <c r="K21" i="16"/>
  <c r="K17" i="16"/>
  <c r="H30" i="14"/>
  <c r="I30" i="14"/>
  <c r="J26" i="14"/>
  <c r="H8" i="14"/>
  <c r="I8" i="14"/>
  <c r="H19" i="16"/>
  <c r="P38" i="14"/>
  <c r="B38" i="14"/>
  <c r="D12" i="16"/>
  <c r="D40" i="16" s="1"/>
  <c r="U22" i="14"/>
  <c r="N22" i="14" s="1"/>
  <c r="T22" i="14"/>
  <c r="M22" i="14" s="1"/>
  <c r="I24" i="14"/>
  <c r="L37" i="16"/>
  <c r="G9" i="14"/>
  <c r="G35" i="14"/>
  <c r="F27" i="14"/>
  <c r="F35" i="14"/>
  <c r="K29" i="16"/>
  <c r="E36" i="16"/>
  <c r="G27" i="14"/>
  <c r="H11" i="16"/>
  <c r="U9" i="14"/>
  <c r="N9" i="14" s="1"/>
  <c r="U35" i="14"/>
  <c r="N35" i="14" s="1"/>
  <c r="U27" i="14"/>
  <c r="N27" i="14" s="1"/>
  <c r="F18" i="14"/>
  <c r="L17" i="16"/>
  <c r="S19" i="14"/>
  <c r="L19" i="14" s="1"/>
  <c r="I15" i="14"/>
  <c r="G17" i="16"/>
  <c r="G15" i="14"/>
  <c r="J15" i="14"/>
  <c r="H17" i="16"/>
  <c r="T32" i="14"/>
  <c r="M32" i="14" s="1"/>
  <c r="U18" i="14"/>
  <c r="N18" i="14" s="1"/>
  <c r="E18" i="14"/>
  <c r="K34" i="16"/>
  <c r="G32" i="14"/>
  <c r="I19" i="14"/>
  <c r="J18" i="14"/>
  <c r="H31" i="14"/>
  <c r="D31" i="14"/>
  <c r="G17" i="14"/>
  <c r="E31" i="14"/>
  <c r="H33" i="16"/>
  <c r="T7" i="14"/>
  <c r="M7" i="14" s="1"/>
  <c r="U8" i="14"/>
  <c r="N8" i="14" s="1"/>
  <c r="I7" i="14"/>
  <c r="U17" i="14"/>
  <c r="N17" i="14" s="1"/>
  <c r="J17" i="14"/>
  <c r="T31" i="14"/>
  <c r="M31" i="14" s="1"/>
  <c r="R13" i="14"/>
  <c r="K13" i="14" s="1"/>
  <c r="K19" i="16"/>
  <c r="K9" i="16"/>
  <c r="K33" i="16"/>
  <c r="I31" i="14"/>
  <c r="E16" i="14"/>
  <c r="L18" i="16"/>
  <c r="E33" i="14"/>
  <c r="T20" i="14"/>
  <c r="M20" i="14" s="1"/>
  <c r="S28" i="14"/>
  <c r="L28" i="14" s="1"/>
  <c r="H33" i="14"/>
  <c r="D33" i="14"/>
  <c r="K22" i="16"/>
  <c r="J28" i="14"/>
  <c r="E11" i="14"/>
  <c r="L35" i="16"/>
  <c r="H18" i="16"/>
  <c r="G18" i="16"/>
  <c r="F16" i="14"/>
  <c r="U16" i="14"/>
  <c r="N16" i="14" s="1"/>
  <c r="J16" i="14"/>
  <c r="R10" i="14"/>
  <c r="K10" i="14" s="1"/>
  <c r="F10" i="14"/>
  <c r="G9" i="27"/>
  <c r="E45" i="27" s="1"/>
  <c r="U29" i="14"/>
  <c r="N29" i="14" s="1"/>
  <c r="I29" i="14"/>
  <c r="L31" i="16"/>
  <c r="U6" i="14"/>
  <c r="N6" i="14" s="1"/>
  <c r="J11" i="16"/>
  <c r="J39" i="16"/>
  <c r="S30" i="14"/>
  <c r="L30" i="14" s="1"/>
  <c r="U30" i="14"/>
  <c r="N30" i="14" s="1"/>
  <c r="K12" i="16"/>
  <c r="F8" i="14"/>
  <c r="E27" i="16"/>
  <c r="I27" i="16" s="1"/>
  <c r="F17" i="16"/>
  <c r="E8" i="14"/>
  <c r="L8" i="16"/>
  <c r="F33" i="16"/>
  <c r="H28" i="16"/>
  <c r="F13" i="16"/>
  <c r="E20" i="16"/>
  <c r="E30" i="16"/>
  <c r="I30" i="16" s="1"/>
  <c r="L28" i="16"/>
  <c r="E26" i="16"/>
  <c r="E15" i="16"/>
  <c r="I15" i="16" s="1"/>
  <c r="F18" i="16"/>
  <c r="U25" i="14"/>
  <c r="N25" i="14" s="1"/>
  <c r="R26" i="14"/>
  <c r="K26" i="14" s="1"/>
  <c r="C6" i="14"/>
  <c r="C38" i="14" s="1"/>
  <c r="F10" i="16"/>
  <c r="F14" i="16"/>
  <c r="F32" i="16"/>
  <c r="F8" i="16"/>
  <c r="E28" i="16"/>
  <c r="H8" i="16"/>
  <c r="F28" i="16"/>
  <c r="E24" i="16"/>
  <c r="F23" i="16"/>
  <c r="I23" i="16" s="1"/>
  <c r="E26" i="14"/>
  <c r="S25" i="14"/>
  <c r="L25" i="14" s="1"/>
  <c r="G6" i="14"/>
  <c r="G8" i="14"/>
  <c r="F6" i="14"/>
  <c r="E6" i="14"/>
  <c r="F37" i="16"/>
  <c r="E8" i="16"/>
  <c r="G28" i="16"/>
  <c r="G10" i="16"/>
  <c r="F19" i="16"/>
  <c r="E35" i="16"/>
  <c r="E18" i="16"/>
  <c r="E37" i="16"/>
  <c r="E14" i="16"/>
  <c r="E9" i="16"/>
  <c r="E17" i="16"/>
  <c r="T25" i="14"/>
  <c r="M25" i="14" s="1"/>
  <c r="D23" i="14"/>
  <c r="F25" i="16"/>
  <c r="D14" i="14"/>
  <c r="E37" i="14"/>
  <c r="F39" i="16"/>
  <c r="L25" i="16"/>
  <c r="G23" i="14"/>
  <c r="G37" i="14"/>
  <c r="E23" i="14"/>
  <c r="F37" i="14"/>
  <c r="F16" i="16"/>
  <c r="K8" i="16"/>
  <c r="S37" i="14"/>
  <c r="L37" i="14" s="1"/>
  <c r="U23" i="14"/>
  <c r="N23" i="14" s="1"/>
  <c r="F24" i="16"/>
  <c r="G22" i="14"/>
  <c r="L24" i="16"/>
  <c r="F22" i="14"/>
  <c r="I22" i="14"/>
  <c r="D22" i="14"/>
  <c r="G24" i="16"/>
  <c r="R22" i="14"/>
  <c r="K22" i="14" s="1"/>
  <c r="H24" i="16"/>
  <c r="L38" i="16"/>
  <c r="F29" i="16"/>
  <c r="F36" i="16"/>
  <c r="D9" i="14"/>
  <c r="E29" i="16"/>
  <c r="G36" i="16"/>
  <c r="E9" i="14"/>
  <c r="J29" i="16"/>
  <c r="L11" i="16"/>
  <c r="K11" i="16"/>
  <c r="S9" i="14"/>
  <c r="L9" i="14" s="1"/>
  <c r="R35" i="14"/>
  <c r="K35" i="14" s="1"/>
  <c r="T27" i="14"/>
  <c r="M27" i="14" s="1"/>
  <c r="R9" i="14"/>
  <c r="K9" i="14" s="1"/>
  <c r="J9" i="14"/>
  <c r="I27" i="14"/>
  <c r="I9" i="14"/>
  <c r="E27" i="14"/>
  <c r="E11" i="16"/>
  <c r="D27" i="14"/>
  <c r="G11" i="16"/>
  <c r="R27" i="14"/>
  <c r="K27" i="14" s="1"/>
  <c r="I35" i="14"/>
  <c r="H27" i="14"/>
  <c r="K36" i="16"/>
  <c r="F11" i="16"/>
  <c r="H29" i="16"/>
  <c r="L29" i="16"/>
  <c r="F20" i="16"/>
  <c r="U15" i="14"/>
  <c r="N15" i="14" s="1"/>
  <c r="T19" i="14"/>
  <c r="M19" i="14" s="1"/>
  <c r="R19" i="14"/>
  <c r="K19" i="14" s="1"/>
  <c r="U19" i="14"/>
  <c r="N19" i="14" s="1"/>
  <c r="T18" i="14"/>
  <c r="M18" i="14" s="1"/>
  <c r="S32" i="14"/>
  <c r="L32" i="14" s="1"/>
  <c r="S15" i="14"/>
  <c r="L15" i="14" s="1"/>
  <c r="R15" i="14"/>
  <c r="K15" i="14" s="1"/>
  <c r="U32" i="14"/>
  <c r="N32" i="14" s="1"/>
  <c r="H15" i="14"/>
  <c r="G34" i="16"/>
  <c r="D32" i="14"/>
  <c r="H34" i="16"/>
  <c r="I32" i="14"/>
  <c r="E34" i="16"/>
  <c r="F32" i="14"/>
  <c r="R32" i="14"/>
  <c r="K32" i="14" s="1"/>
  <c r="F34" i="16"/>
  <c r="L21" i="16"/>
  <c r="D18" i="14"/>
  <c r="G20" i="16"/>
  <c r="H20" i="16"/>
  <c r="F21" i="16"/>
  <c r="F19" i="14"/>
  <c r="H21" i="16"/>
  <c r="L20" i="16"/>
  <c r="E21" i="16"/>
  <c r="G18" i="14"/>
  <c r="D19" i="14"/>
  <c r="G19" i="14"/>
  <c r="J19" i="14"/>
  <c r="H19" i="14"/>
  <c r="H18" i="14"/>
  <c r="K13" i="16"/>
  <c r="E22" i="16"/>
  <c r="T21" i="14"/>
  <c r="M21" i="14" s="1"/>
  <c r="E20" i="14"/>
  <c r="F22" i="16"/>
  <c r="S16" i="14"/>
  <c r="L16" i="14" s="1"/>
  <c r="R33" i="14"/>
  <c r="K33" i="14" s="1"/>
  <c r="U20" i="14"/>
  <c r="N20" i="14" s="1"/>
  <c r="R21" i="14"/>
  <c r="K21" i="14" s="1"/>
  <c r="U11" i="14"/>
  <c r="N11" i="14" s="1"/>
  <c r="J11" i="14"/>
  <c r="F11" i="14"/>
  <c r="G21" i="14"/>
  <c r="L30" i="16"/>
  <c r="F21" i="14"/>
  <c r="G13" i="16"/>
  <c r="F28" i="14"/>
  <c r="I28" i="14"/>
  <c r="J10" i="14"/>
  <c r="E10" i="14"/>
  <c r="H31" i="16"/>
  <c r="T29" i="14"/>
  <c r="M29" i="14" s="1"/>
  <c r="U10" i="14"/>
  <c r="N10" i="14" s="1"/>
  <c r="J29" i="14"/>
  <c r="E29" i="14"/>
  <c r="G10" i="14"/>
  <c r="E31" i="16"/>
  <c r="S10" i="14"/>
  <c r="L10" i="14" s="1"/>
  <c r="D10" i="14"/>
  <c r="F29" i="14"/>
  <c r="F12" i="16"/>
  <c r="F31" i="16"/>
  <c r="G12" i="16"/>
  <c r="H29" i="14"/>
  <c r="H34" i="14"/>
  <c r="H36" i="16"/>
  <c r="L36" i="16"/>
  <c r="G38" i="16"/>
  <c r="H39" i="16"/>
  <c r="E25" i="16"/>
  <c r="H9" i="16"/>
  <c r="H16" i="16"/>
  <c r="E33" i="16"/>
  <c r="G39" i="16"/>
  <c r="G9" i="16"/>
  <c r="F24" i="14"/>
  <c r="E32" i="14"/>
  <c r="E34" i="14"/>
  <c r="D7" i="14"/>
  <c r="E7" i="14"/>
  <c r="G31" i="14"/>
  <c r="F31" i="14"/>
  <c r="F23" i="14"/>
  <c r="F14" i="14"/>
  <c r="T17" i="14"/>
  <c r="M17" i="14" s="1"/>
  <c r="S31" i="14"/>
  <c r="L31" i="14" s="1"/>
  <c r="J32" i="14"/>
  <c r="H14" i="14"/>
  <c r="H7" i="14"/>
  <c r="D24" i="14"/>
  <c r="L16" i="16"/>
  <c r="L33" i="16"/>
  <c r="E16" i="16"/>
  <c r="G25" i="16"/>
  <c r="G19" i="16"/>
  <c r="G24" i="14"/>
  <c r="E24" i="14"/>
  <c r="D34" i="14"/>
  <c r="E17" i="14"/>
  <c r="G7" i="14"/>
  <c r="F13" i="14"/>
  <c r="U24" i="14"/>
  <c r="N24" i="14" s="1"/>
  <c r="R37" i="14"/>
  <c r="K37" i="14" s="1"/>
  <c r="T34" i="14"/>
  <c r="M34" i="14" s="1"/>
  <c r="R23" i="14"/>
  <c r="K23" i="14" s="1"/>
  <c r="R14" i="14"/>
  <c r="K14" i="14" s="1"/>
  <c r="J37" i="14"/>
  <c r="J31" i="14"/>
  <c r="J13" i="14"/>
  <c r="J7" i="14"/>
  <c r="I17" i="14"/>
  <c r="G34" i="14"/>
  <c r="F34" i="14"/>
  <c r="H25" i="16"/>
  <c r="L15" i="16"/>
  <c r="E19" i="16"/>
  <c r="K39" i="16"/>
  <c r="L9" i="16"/>
  <c r="F9" i="16"/>
  <c r="L19" i="16"/>
  <c r="G33" i="16"/>
  <c r="G14" i="14"/>
  <c r="S13" i="14"/>
  <c r="L13" i="14" s="1"/>
  <c r="R7" i="14"/>
  <c r="K7" i="14" s="1"/>
  <c r="J24" i="14"/>
  <c r="J6" i="14"/>
  <c r="K38" i="16"/>
  <c r="F36" i="14"/>
  <c r="H17" i="14"/>
  <c r="I13" i="14"/>
  <c r="I34" i="14"/>
  <c r="U37" i="14"/>
  <c r="N37" i="14" s="1"/>
  <c r="T23" i="14"/>
  <c r="M23" i="14" s="1"/>
  <c r="T14" i="14"/>
  <c r="M14" i="14" s="1"/>
  <c r="S34" i="14"/>
  <c r="L34" i="14" s="1"/>
  <c r="J14" i="14"/>
  <c r="T37" i="14"/>
  <c r="M37" i="14" s="1"/>
  <c r="J23" i="14"/>
  <c r="U34" i="14"/>
  <c r="N34" i="14" s="1"/>
  <c r="U14" i="14"/>
  <c r="N14" i="14" s="1"/>
  <c r="S23" i="14"/>
  <c r="L23" i="14" s="1"/>
  <c r="S14" i="14"/>
  <c r="L14" i="14" s="1"/>
  <c r="H37" i="14"/>
  <c r="E43" i="27"/>
  <c r="J36" i="14"/>
  <c r="E36" i="14"/>
  <c r="G36" i="14"/>
  <c r="E38" i="16"/>
  <c r="H38" i="16"/>
  <c r="D36" i="14"/>
  <c r="F38" i="16"/>
  <c r="L13" i="16"/>
  <c r="E13" i="16"/>
  <c r="J22" i="16"/>
  <c r="G11" i="14"/>
  <c r="E28" i="14"/>
  <c r="U33" i="14"/>
  <c r="N33" i="14" s="1"/>
  <c r="U21" i="14"/>
  <c r="N21" i="14" s="1"/>
  <c r="T11" i="14"/>
  <c r="M11" i="14" s="1"/>
  <c r="S20" i="14"/>
  <c r="L20" i="14" s="1"/>
  <c r="R28" i="14"/>
  <c r="K28" i="14" s="1"/>
  <c r="J21" i="14"/>
  <c r="I21" i="14"/>
  <c r="I11" i="14"/>
  <c r="H28" i="14"/>
  <c r="L22" i="16"/>
  <c r="H22" i="16"/>
  <c r="G28" i="14"/>
  <c r="D20" i="14"/>
  <c r="D11" i="14"/>
  <c r="U28" i="14"/>
  <c r="N28" i="14" s="1"/>
  <c r="T33" i="14"/>
  <c r="M33" i="14" s="1"/>
  <c r="T28" i="14"/>
  <c r="M28" i="14" s="1"/>
  <c r="S11" i="14"/>
  <c r="L11" i="14" s="1"/>
  <c r="R20" i="14"/>
  <c r="K20" i="14" s="1"/>
  <c r="R11" i="14"/>
  <c r="K11" i="14" s="1"/>
  <c r="J20" i="14"/>
  <c r="I20" i="14"/>
  <c r="H20" i="14"/>
  <c r="H21" i="14"/>
  <c r="H16" i="14"/>
  <c r="H13" i="16"/>
  <c r="L23" i="16"/>
  <c r="D28" i="14"/>
  <c r="E21" i="14"/>
  <c r="H11" i="14"/>
  <c r="E12" i="16"/>
  <c r="H12" i="16"/>
  <c r="U36" i="14"/>
  <c r="N36" i="14" s="1"/>
  <c r="T36" i="14"/>
  <c r="M36" i="14" s="1"/>
  <c r="S29" i="14"/>
  <c r="L29" i="14" s="1"/>
  <c r="R29" i="14"/>
  <c r="K29" i="14" s="1"/>
  <c r="I36" i="14"/>
  <c r="H10" i="14"/>
  <c r="H103" i="26"/>
  <c r="G11" i="27"/>
  <c r="G29" i="14"/>
  <c r="J10" i="27"/>
  <c r="D29" i="14"/>
  <c r="H24" i="14"/>
  <c r="T24" i="14"/>
  <c r="M24" i="14" s="1"/>
  <c r="S24" i="14"/>
  <c r="L24" i="14" s="1"/>
  <c r="R24" i="14"/>
  <c r="K24" i="14" s="1"/>
  <c r="H22" i="14"/>
  <c r="H36" i="14"/>
  <c r="S36" i="14"/>
  <c r="L36" i="14" s="1"/>
  <c r="R36" i="14"/>
  <c r="K36" i="14" s="1"/>
  <c r="T35" i="14"/>
  <c r="M35" i="14" s="1"/>
  <c r="S35" i="14"/>
  <c r="L35" i="14" s="1"/>
  <c r="H35" i="14"/>
  <c r="J27" i="14"/>
  <c r="H9" i="14"/>
  <c r="S27" i="14"/>
  <c r="L27" i="14" s="1"/>
  <c r="R34" i="14"/>
  <c r="K34" i="14" s="1"/>
  <c r="J34" i="14"/>
  <c r="R18" i="14"/>
  <c r="K18" i="14" s="1"/>
  <c r="H32" i="14"/>
  <c r="R31" i="14"/>
  <c r="K31" i="14" s="1"/>
  <c r="R8" i="14"/>
  <c r="K8" i="14" s="1"/>
  <c r="S7" i="14"/>
  <c r="L7" i="14" s="1"/>
  <c r="R6" i="14"/>
  <c r="K6" i="14" s="1"/>
  <c r="J17" i="16"/>
  <c r="J33" i="16"/>
  <c r="J32" i="16"/>
  <c r="J20" i="16"/>
  <c r="J10" i="16"/>
  <c r="J30" i="16"/>
  <c r="J36" i="16"/>
  <c r="J23" i="16"/>
  <c r="J16" i="16"/>
  <c r="J8" i="16"/>
  <c r="J25" i="16"/>
  <c r="J9" i="16"/>
  <c r="J15" i="16"/>
  <c r="J18" i="16"/>
  <c r="J38" i="16"/>
  <c r="J28" i="16"/>
  <c r="J31" i="16"/>
  <c r="J12" i="16"/>
  <c r="J13" i="16"/>
  <c r="S6" i="14"/>
  <c r="H26" i="14"/>
  <c r="I26" i="14"/>
  <c r="I10" i="14"/>
  <c r="I6" i="14"/>
  <c r="F103" i="26" l="1"/>
  <c r="G103" i="26"/>
  <c r="E158" i="26"/>
  <c r="P116" i="26"/>
  <c r="P117" i="26"/>
  <c r="Q117" i="26"/>
  <c r="P115" i="26"/>
  <c r="R115" i="26"/>
  <c r="R117" i="26"/>
  <c r="Q115" i="26"/>
  <c r="R116" i="26"/>
  <c r="Q116" i="26"/>
  <c r="O118" i="26"/>
  <c r="E101" i="26"/>
  <c r="E104" i="26" s="1"/>
  <c r="I32" i="16"/>
  <c r="G98" i="26"/>
  <c r="H99" i="26"/>
  <c r="G100" i="26"/>
  <c r="G102" i="26"/>
  <c r="H101" i="26"/>
  <c r="F101" i="26"/>
  <c r="F100" i="26"/>
  <c r="H102" i="26"/>
  <c r="H100" i="26"/>
  <c r="F102" i="26"/>
  <c r="G101" i="26"/>
  <c r="F97" i="26"/>
  <c r="H98" i="26"/>
  <c r="G97" i="26"/>
  <c r="F98" i="26"/>
  <c r="H97" i="26"/>
  <c r="F99" i="26"/>
  <c r="G99" i="26"/>
  <c r="I28" i="16"/>
  <c r="H45" i="27"/>
  <c r="I17" i="16"/>
  <c r="G45" i="27"/>
  <c r="I8" i="16"/>
  <c r="I29" i="16"/>
  <c r="I14" i="16"/>
  <c r="I10" i="16"/>
  <c r="I35" i="16"/>
  <c r="I18" i="16"/>
  <c r="I24" i="16"/>
  <c r="I26" i="16"/>
  <c r="F45" i="27"/>
  <c r="O38" i="14"/>
  <c r="O40" i="14" s="1"/>
  <c r="I20" i="16"/>
  <c r="I39" i="16"/>
  <c r="I31" i="16"/>
  <c r="I36" i="16"/>
  <c r="I37" i="16"/>
  <c r="I22" i="16"/>
  <c r="I33" i="16"/>
  <c r="I21" i="16"/>
  <c r="I11" i="16"/>
  <c r="F40" i="16"/>
  <c r="I34" i="16"/>
  <c r="I16" i="16"/>
  <c r="F38" i="14"/>
  <c r="G40" i="16"/>
  <c r="I19" i="16"/>
  <c r="I38" i="16"/>
  <c r="I9" i="16"/>
  <c r="K40" i="16"/>
  <c r="I25" i="16"/>
  <c r="E38" i="14"/>
  <c r="H40" i="16"/>
  <c r="E40" i="16"/>
  <c r="I13" i="16"/>
  <c r="N38" i="14"/>
  <c r="D38" i="14"/>
  <c r="L40" i="16"/>
  <c r="M38" i="14"/>
  <c r="H43" i="27"/>
  <c r="G38" i="14"/>
  <c r="H38" i="14"/>
  <c r="J38" i="14"/>
  <c r="E44" i="27"/>
  <c r="E46" i="27" s="1"/>
  <c r="G44" i="27"/>
  <c r="G43" i="27"/>
  <c r="I12" i="16"/>
  <c r="F43" i="27"/>
  <c r="U38" i="14"/>
  <c r="H44" i="27"/>
  <c r="F44" i="27"/>
  <c r="T38" i="14"/>
  <c r="K38" i="14"/>
  <c r="R38" i="14"/>
  <c r="L6" i="14"/>
  <c r="L38" i="14" s="1"/>
  <c r="S38" i="14"/>
  <c r="J40" i="16"/>
  <c r="I38" i="14"/>
  <c r="G39" i="14" l="1"/>
  <c r="D40" i="14"/>
  <c r="D39" i="14"/>
  <c r="H104" i="26"/>
  <c r="G104" i="26"/>
  <c r="F104" i="26"/>
  <c r="F158" i="26"/>
  <c r="H158" i="26"/>
  <c r="G158" i="26"/>
  <c r="R118" i="26"/>
  <c r="P118" i="26"/>
  <c r="Q118" i="26"/>
  <c r="B39" i="14"/>
  <c r="H46" i="27"/>
  <c r="G46" i="27"/>
  <c r="I40" i="16"/>
  <c r="F46" i="27"/>
  <c r="I104" i="26" l="1"/>
  <c r="A30" i="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alcChain>
</file>

<file path=xl/sharedStrings.xml><?xml version="1.0" encoding="utf-8"?>
<sst xmlns="http://schemas.openxmlformats.org/spreadsheetml/2006/main" count="2027" uniqueCount="742">
  <si>
    <t>Detenido</t>
  </si>
  <si>
    <t xml:space="preserve">Con Propuesta </t>
  </si>
  <si>
    <r>
      <t>2</t>
    </r>
    <r>
      <rPr>
        <vertAlign val="superscript"/>
        <sz val="11"/>
        <color theme="1"/>
        <rFont val="Calibri"/>
        <family val="2"/>
        <scheme val="minor"/>
      </rPr>
      <t>DO</t>
    </r>
  </si>
  <si>
    <t>Detenido pago cubicación</t>
  </si>
  <si>
    <t xml:space="preserve">Con Propuesta de Donación </t>
  </si>
  <si>
    <t>Detenido pago terreno</t>
  </si>
  <si>
    <t>En Posesión con Avance</t>
  </si>
  <si>
    <t>Detenido por planos</t>
  </si>
  <si>
    <t>En Posesión sin Avance</t>
  </si>
  <si>
    <t>En Construcción</t>
  </si>
  <si>
    <t xml:space="preserve">Negociado </t>
  </si>
  <si>
    <t>Etapa Preliminar</t>
  </si>
  <si>
    <t xml:space="preserve">Sin Propuesta </t>
  </si>
  <si>
    <t>Inaugurado</t>
  </si>
  <si>
    <t>Sin Iniciar</t>
  </si>
  <si>
    <t>RESUMEN CAIPI DETENIDOS</t>
  </si>
  <si>
    <t>PROVINCIA</t>
  </si>
  <si>
    <t>CANTIDAD CAIPI SORTEADO</t>
  </si>
  <si>
    <t>CAIPI DETENIDO POR PAGO TERRENO</t>
  </si>
  <si>
    <t>CAIPI DETENIDO POR PAGO CUBICACION</t>
  </si>
  <si>
    <t>CAIPI DETENIDO POR PLANO</t>
  </si>
  <si>
    <t>CAIPI DETENIDO</t>
  </si>
  <si>
    <t>TOTAL DETENIDA</t>
  </si>
  <si>
    <t>PROCESO DONACION</t>
  </si>
  <si>
    <t>NEGOCIADO</t>
  </si>
  <si>
    <t>SIN INICIAR</t>
  </si>
  <si>
    <t>AZUA</t>
  </si>
  <si>
    <t>BAHORUCO</t>
  </si>
  <si>
    <t>BARAHONA</t>
  </si>
  <si>
    <t>DAJABÓN</t>
  </si>
  <si>
    <t>DISTRITO NACIONAL</t>
  </si>
  <si>
    <t>DUARTE</t>
  </si>
  <si>
    <t>EL SEIBO</t>
  </si>
  <si>
    <t>ELIAS PIÑA</t>
  </si>
  <si>
    <t>ESPAILLAT</t>
  </si>
  <si>
    <t>HATO MAYOR</t>
  </si>
  <si>
    <t>HERMANAS MIRABAL</t>
  </si>
  <si>
    <t xml:space="preserve">INDEPENDENCIA </t>
  </si>
  <si>
    <t>LA ALTAGRACIA</t>
  </si>
  <si>
    <t>LA ROMANA</t>
  </si>
  <si>
    <t>LA VEGA</t>
  </si>
  <si>
    <t>MARIA TRINIDAD SANCHEZ</t>
  </si>
  <si>
    <t>MONSEÑOR NOUEL</t>
  </si>
  <si>
    <t>MONTE CRISTI</t>
  </si>
  <si>
    <t>MONTE PLATA</t>
  </si>
  <si>
    <t>PEDERNALES</t>
  </si>
  <si>
    <t>PERAVIA</t>
  </si>
  <si>
    <t>PUERTO PLATA</t>
  </si>
  <si>
    <t>SAMANA</t>
  </si>
  <si>
    <t>SAN CRISTÓBAL</t>
  </si>
  <si>
    <t>SAN JOSE DE OCOA</t>
  </si>
  <si>
    <t>SAN JUAN</t>
  </si>
  <si>
    <t>SAN PEDRO DE MACORÍS</t>
  </si>
  <si>
    <t>SANCHEZ RAMIREZ</t>
  </si>
  <si>
    <t xml:space="preserve">SANTIAGO </t>
  </si>
  <si>
    <t>SANTIAGO RODRIGUEZ</t>
  </si>
  <si>
    <t>SANTO DOMINGO</t>
  </si>
  <si>
    <t>VALVERDE</t>
  </si>
  <si>
    <t>TOTAL</t>
  </si>
  <si>
    <t>Estado de Servicios  de Primera Infancia Operando "INAIPI"</t>
  </si>
  <si>
    <t>CAIPI operando</t>
  </si>
  <si>
    <t>CAFI operando</t>
  </si>
  <si>
    <t>Total Servicio</t>
  </si>
  <si>
    <t>Tipo Servicio</t>
  </si>
  <si>
    <t>CAFI</t>
  </si>
  <si>
    <t>CAIPI</t>
  </si>
  <si>
    <t>ELÍAS PIÑA</t>
  </si>
  <si>
    <t>INDEPENDENCIA</t>
  </si>
  <si>
    <t>MARÍA TRINIDAD SÁNCHEZ</t>
  </si>
  <si>
    <t>SAMANÁ</t>
  </si>
  <si>
    <t>SAN JOSÉ DE OCOA</t>
  </si>
  <si>
    <t>SÁNCHEZ RAMÍREZ</t>
  </si>
  <si>
    <t>SANTIAGO</t>
  </si>
  <si>
    <t>SANTIAGO RODRÍGUEZ</t>
  </si>
  <si>
    <t>Provincia</t>
  </si>
  <si>
    <t>Salcedo</t>
  </si>
  <si>
    <t>Villa Tapia</t>
  </si>
  <si>
    <t>ESTADO DE TERRENOS Y AVANCE CONSTRUCTIVO DE LOS CAIPI</t>
  </si>
  <si>
    <t>Estado Constructivo</t>
  </si>
  <si>
    <t>Estado terreno</t>
  </si>
  <si>
    <t>CAIPI INICIADO</t>
  </si>
  <si>
    <t>CAIPI SIN INICIAR</t>
  </si>
  <si>
    <t>AVANCE CONSTRUCTIVO DE CAIPI POR PROVINCIA</t>
  </si>
  <si>
    <t>&gt;=0%</t>
  </si>
  <si>
    <t>&gt;25%</t>
  </si>
  <si>
    <t>&gt;50%</t>
  </si>
  <si>
    <t>&gt;75%</t>
  </si>
  <si>
    <t>CAIPI SORTEADO</t>
  </si>
  <si>
    <t>CAIPI INAUGURADO</t>
  </si>
  <si>
    <t xml:space="preserve">TOTAL CAIPI INICIADO </t>
  </si>
  <si>
    <t>CAIPI INICIADO EN CONSTRUCCIÓN</t>
  </si>
  <si>
    <t>CAIPI INICIADO / DETENIDO</t>
  </si>
  <si>
    <t>TOTAL CAIPI SIN INICIAR</t>
  </si>
  <si>
    <t>CAIPI SIN INICIAR /SIN  PROPUESTA TERRENO</t>
  </si>
  <si>
    <t>CAIPI SIN INICIAR / CON PROPUESTA TERRENO</t>
  </si>
  <si>
    <t>CAIPI SIN INICIAR / CON TERRENO EN NEGOCIACIÓN</t>
  </si>
  <si>
    <t>&lt;=25%</t>
  </si>
  <si>
    <t>Entre 26% y 50%</t>
  </si>
  <si>
    <t>Entre 51% y 75%</t>
  </si>
  <si>
    <t>Entre 76% y 99%</t>
  </si>
  <si>
    <t>&lt;=50%</t>
  </si>
  <si>
    <t>&lt;=75%</t>
  </si>
  <si>
    <t>&lt;100%</t>
  </si>
  <si>
    <t>1er Sorteo</t>
  </si>
  <si>
    <t>4to Sorteo</t>
  </si>
  <si>
    <t>&gt;99%</t>
  </si>
  <si>
    <t>ESTADO SITUACIÓN DE LOS TERRENOS Y DE LOS PROCESOS CONSTRUCTIVOS PARA CENTROS  DE ATENCIÓN INTEGRAL A LA PRIMERA INFANCIA - CAIPI</t>
  </si>
  <si>
    <t>#</t>
  </si>
  <si>
    <t>Especialista</t>
  </si>
  <si>
    <t>Municipios Intervenidos</t>
  </si>
  <si>
    <t>Tipo de Intervencion</t>
  </si>
  <si>
    <t>Nombre Poligono Previsto</t>
  </si>
  <si>
    <t>Localizacion</t>
  </si>
  <si>
    <t>Estado Adquisicion  Terrenos</t>
  </si>
  <si>
    <t xml:space="preserve">Histórico Estado Constructivo </t>
  </si>
  <si>
    <t>Coordenadas</t>
  </si>
  <si>
    <t>Contratista</t>
  </si>
  <si>
    <t>Contacto</t>
  </si>
  <si>
    <t>E-Mal</t>
  </si>
  <si>
    <t xml:space="preserve"># Sorteo </t>
  </si>
  <si>
    <t>Porcentaje de Avance</t>
  </si>
  <si>
    <t>&lt;=99%</t>
  </si>
  <si>
    <t>Rafael Alexis</t>
  </si>
  <si>
    <t>Azua</t>
  </si>
  <si>
    <t>Casco Urbano</t>
  </si>
  <si>
    <t>El Prado</t>
  </si>
  <si>
    <t>Calle Feliciano Martínez esq. José Leger, entrando por el Bo. El Prado, en Los Terrenos de Indesur e INESPRE</t>
  </si>
  <si>
    <t>La Bombita</t>
  </si>
  <si>
    <t>Detrás de la calle Pedro Santana y el Multiuso</t>
  </si>
  <si>
    <t>Azua 1</t>
  </si>
  <si>
    <t>Barrios Los Cartones-Simón Stridels</t>
  </si>
  <si>
    <t>Azua 2</t>
  </si>
  <si>
    <t>Barrio La Placeta (Reubicada en el Ens. Quisqueya)</t>
  </si>
  <si>
    <t>Peralta</t>
  </si>
  <si>
    <t>Peravia</t>
  </si>
  <si>
    <t>Bani</t>
  </si>
  <si>
    <t xml:space="preserve"> Casco Urbano</t>
  </si>
  <si>
    <t>Bani 1 (Los Barrancones)</t>
  </si>
  <si>
    <t>Calle 1ra detrás de La Sirena</t>
  </si>
  <si>
    <t>Bani 2 (Santa Cruz)</t>
  </si>
  <si>
    <t>C/ Nuestra Señora de Regla esq. calle Presidente Victoria</t>
  </si>
  <si>
    <t>* Bani 3 Casco Urbano</t>
  </si>
  <si>
    <t>Casco Urbano Bani</t>
  </si>
  <si>
    <t>Nizao</t>
  </si>
  <si>
    <t>Municipio Completo</t>
  </si>
  <si>
    <t>Próximo al Liceo</t>
  </si>
  <si>
    <t>San José de Ocoa</t>
  </si>
  <si>
    <t>San José de Ocoa (Los Maestros)</t>
  </si>
  <si>
    <t>Calle Sin Nombre, detrás de la Escuela Especial</t>
  </si>
  <si>
    <t>Sabana Larga</t>
  </si>
  <si>
    <t>Barahona</t>
  </si>
  <si>
    <t>Barahona Suroeste (Camboya)</t>
  </si>
  <si>
    <t>Calle Camboya #63</t>
  </si>
  <si>
    <t>* Barahona 1</t>
  </si>
  <si>
    <t>Centro Ciudad</t>
  </si>
  <si>
    <t>Barahona 2</t>
  </si>
  <si>
    <t>Pueblo Nuevo</t>
  </si>
  <si>
    <t>Distrito Municipal Villa Central</t>
  </si>
  <si>
    <t>Distrito Municipal Completo</t>
  </si>
  <si>
    <t>Los Block-Salinas (Juan Pablo Duarte)</t>
  </si>
  <si>
    <t>Calle 7ma Avenida , Los Blocks. Al Lado Del Ayuntamiento De Villa Central</t>
  </si>
  <si>
    <t>Pedernales</t>
  </si>
  <si>
    <t>Los Cayucos (Minguito Ortiz)</t>
  </si>
  <si>
    <t>Minguito Ortiz</t>
  </si>
  <si>
    <t>Clarivel Adames</t>
  </si>
  <si>
    <t>Elías Piña</t>
  </si>
  <si>
    <t>Comendador</t>
  </si>
  <si>
    <t>Aduana Vieja</t>
  </si>
  <si>
    <t>Hondo Valle</t>
  </si>
  <si>
    <t>San Juan</t>
  </si>
  <si>
    <t xml:space="preserve">San Juan </t>
  </si>
  <si>
    <t>Córbano Sur</t>
  </si>
  <si>
    <t>Barrio Nuevo, Carretera Chalona casi frenta a la Escuela Basica El Refugio</t>
  </si>
  <si>
    <t>Villa Flores</t>
  </si>
  <si>
    <t>Av. Circunvalación Sur detrás del Edif. # 15</t>
  </si>
  <si>
    <t>Ensanche Anacaona</t>
  </si>
  <si>
    <t>Entre las calles Proyecto 22 y Proyecto 25, Zona Oeste</t>
  </si>
  <si>
    <t>Bahoruco</t>
  </si>
  <si>
    <t>Villa Jaragua</t>
  </si>
  <si>
    <t>* San Juan</t>
  </si>
  <si>
    <t>Centro de la Ciudad</t>
  </si>
  <si>
    <t>Las Matas de Farfan</t>
  </si>
  <si>
    <t>Calle Duvergé, al lado del Play de Softbol</t>
  </si>
  <si>
    <t>Barrio Villa Esperanza</t>
  </si>
  <si>
    <t>Neiba</t>
  </si>
  <si>
    <t>Neiba (Barrio Puerto Plata)</t>
  </si>
  <si>
    <t>Calle José Fco. Peña Gómez esq. Calle Mella</t>
  </si>
  <si>
    <t xml:space="preserve">Independencia </t>
  </si>
  <si>
    <t>La Descubierta</t>
  </si>
  <si>
    <t>Galvan</t>
  </si>
  <si>
    <t>Galván</t>
  </si>
  <si>
    <t>Jimani</t>
  </si>
  <si>
    <t>Nuevo Boca De Cachón</t>
  </si>
  <si>
    <t>Calle Del Parque Esq. 27 de Febrero</t>
  </si>
  <si>
    <t>Villa Armonía</t>
  </si>
  <si>
    <t>Calle 5 esq. Calle B</t>
  </si>
  <si>
    <t>Duvergé</t>
  </si>
  <si>
    <t>Distrito Nacional</t>
  </si>
  <si>
    <t>Bloque Barrio</t>
  </si>
  <si>
    <t>La Zurza</t>
  </si>
  <si>
    <t>Av Los Mártires casi Esq. Máximo Gómez</t>
  </si>
  <si>
    <t>Los Girasoles I</t>
  </si>
  <si>
    <t>Calle 10 Proximo a la tienda L&amp;R</t>
  </si>
  <si>
    <t>Los Ríos Guayubin - Los Rios I</t>
  </si>
  <si>
    <t>Calle Guayajal casi esq Calle Guayubin,  Bo. Guayubin</t>
  </si>
  <si>
    <t>Los Ríos</t>
  </si>
  <si>
    <t>Gualey</t>
  </si>
  <si>
    <t>Capotillo</t>
  </si>
  <si>
    <t>Domingo Savio (Cienaga)</t>
  </si>
  <si>
    <t>Domingo Savio</t>
  </si>
  <si>
    <t>Domingo Savio (Los Guandules)</t>
  </si>
  <si>
    <t>Cristo Rey 1</t>
  </si>
  <si>
    <t>Cristo Rey</t>
  </si>
  <si>
    <t>Cristo Rey 2</t>
  </si>
  <si>
    <t>Cristo Rey 3</t>
  </si>
  <si>
    <t>* Ensanche La Fe</t>
  </si>
  <si>
    <t>Ensanche La Fe</t>
  </si>
  <si>
    <t>* Ensanche Quisqueya</t>
  </si>
  <si>
    <t>Ensanche Quisqueya</t>
  </si>
  <si>
    <t>Villa Francisca</t>
  </si>
  <si>
    <t>Palma Real (Los Girasoles) 2</t>
  </si>
  <si>
    <t>Palma Real (Los Girasoles) 1</t>
  </si>
  <si>
    <t>* República de Colombia</t>
  </si>
  <si>
    <t>República de Colombia</t>
  </si>
  <si>
    <t>Santo Domingo</t>
  </si>
  <si>
    <t>Boca Chica</t>
  </si>
  <si>
    <t>Andres Boca Chica (Los Botaos)</t>
  </si>
  <si>
    <t>Calle Resp. Manuela Diez</t>
  </si>
  <si>
    <t>Andres – Boca Chica 1</t>
  </si>
  <si>
    <t>Barrio Altos de Chavón, Andres Norte</t>
  </si>
  <si>
    <t>Andres – Boca Chica 2</t>
  </si>
  <si>
    <t>Barrio Sucio, Andres Sur</t>
  </si>
  <si>
    <t>La Caleta – Boca Chica 1 (Bo. El Valiente)</t>
  </si>
  <si>
    <t>Barrio Valiente, Boca Chica 1</t>
  </si>
  <si>
    <t>La Caleta – Boca Chica 2</t>
  </si>
  <si>
    <t>Barrio Caliche de Monte Adentro</t>
  </si>
  <si>
    <t>La Caleta - Boca Chica 3 (Trasladada Desde Barquita)</t>
  </si>
  <si>
    <t xml:space="preserve">Calle Fauto Cruz esq. El Peso, La Caleta </t>
  </si>
  <si>
    <t>Santo Domingo Este</t>
  </si>
  <si>
    <t>Los Rios</t>
  </si>
  <si>
    <t>La Isabelita</t>
  </si>
  <si>
    <t>Barrios Isabelita/ Los Mameyes 1</t>
  </si>
  <si>
    <t>* Ciudad Juan Bosch I (Trasladada Desde Mejoramiento Social)</t>
  </si>
  <si>
    <t>Ciudad Juan Bosch - MS</t>
  </si>
  <si>
    <t>* Ciudad Juan Bosch II (Trasladada Desde Villa Francisca)</t>
  </si>
  <si>
    <t>Ciudad Juan Bosch -VF</t>
  </si>
  <si>
    <t>* Ciudad Juan Bosch - III (Trasladada Desde  Maria Auxiliadora)</t>
  </si>
  <si>
    <t>Ciudad Juan Bosch - MA</t>
  </si>
  <si>
    <t>* Ensanche Ozama</t>
  </si>
  <si>
    <t>Ensanche Ozama</t>
  </si>
  <si>
    <t>* Ensanche Alma Rosa</t>
  </si>
  <si>
    <t>Ensanche Alma Rosa</t>
  </si>
  <si>
    <t>* Mendoza</t>
  </si>
  <si>
    <t>Mendoza</t>
  </si>
  <si>
    <t>Los Mina Norte ( Los Mina Sur)</t>
  </si>
  <si>
    <t>Los Mina Sur</t>
  </si>
  <si>
    <t>Los Mina 1</t>
  </si>
  <si>
    <t>Los Mina Norte</t>
  </si>
  <si>
    <t>Los Mina 2</t>
  </si>
  <si>
    <t>Los Tres Brazos</t>
  </si>
  <si>
    <t>Calle Salmo próximo al Matadero</t>
  </si>
  <si>
    <t>Los Tres Brazos 1</t>
  </si>
  <si>
    <t>Barrio Santo Tomás de Aquino</t>
  </si>
  <si>
    <t>Los Tres Brazos 2</t>
  </si>
  <si>
    <t>Barrio Jardines Del Ozama</t>
  </si>
  <si>
    <t>El Almirante</t>
  </si>
  <si>
    <t>Calle La Pista, Zona 2</t>
  </si>
  <si>
    <t>El Almirante 1</t>
  </si>
  <si>
    <t>Barrio Villa Esfuerzo</t>
  </si>
  <si>
    <t>Villa Liberación (Trasladada desde Almirante 2)</t>
  </si>
  <si>
    <t>El Almirante 3</t>
  </si>
  <si>
    <t>Barrio La Toronja</t>
  </si>
  <si>
    <t>Villa Liberación / El Tamarindo</t>
  </si>
  <si>
    <t>Villa Liberación/El Tamarindo</t>
  </si>
  <si>
    <t>* Lucerna (Reubicada desde Cancino Adentro)</t>
  </si>
  <si>
    <t>Lucerna, Detrás de Plaza Lama</t>
  </si>
  <si>
    <t>San Antonio de Guerra</t>
  </si>
  <si>
    <t>Municipio de Guerra</t>
  </si>
  <si>
    <t>Centro Zona Urbana</t>
  </si>
  <si>
    <t>Los Alcarrizos</t>
  </si>
  <si>
    <t>Calle San Marcos Esq. Anacaona. Proximo A La Capilla San Marcos</t>
  </si>
  <si>
    <t>Magdalena Marmolejos</t>
  </si>
  <si>
    <t>Carretera La Isabela, Frente Al Cuartel De Los Bomberos</t>
  </si>
  <si>
    <t>Pantoja</t>
  </si>
  <si>
    <t>Distrito Municipal Pantoja: Barrios Villa Del Palmar-José Contreras</t>
  </si>
  <si>
    <t>La Piña</t>
  </si>
  <si>
    <t>Calle 22 Entrando Por El Puente Blanco</t>
  </si>
  <si>
    <t>Los Alcarrizos-La Salida (Landia)</t>
  </si>
  <si>
    <t>Calle La Vega Bo. Landia</t>
  </si>
  <si>
    <t>Alcarrizos 1</t>
  </si>
  <si>
    <t>Barrio El Chucho</t>
  </si>
  <si>
    <t>Alcarrizos 2</t>
  </si>
  <si>
    <t>Barrio Lebroncito</t>
  </si>
  <si>
    <t>Alcarrizos 4</t>
  </si>
  <si>
    <t>Barrio La Unión</t>
  </si>
  <si>
    <t xml:space="preserve">Santo Domingo Norte </t>
  </si>
  <si>
    <t>Sabana Perdida I</t>
  </si>
  <si>
    <t>Prolongación Charles De Gaulle, Entre El Cruce De Sabana Perdida Y El Hospital Traumatologico Ney Arias Lora</t>
  </si>
  <si>
    <t>Sabana Perdida II (El Cachon)</t>
  </si>
  <si>
    <t>Sabana Perdida</t>
  </si>
  <si>
    <t>Barrio Colinas de Marañon</t>
  </si>
  <si>
    <t>Sabana Perdida II</t>
  </si>
  <si>
    <t>Barrio Nuevo</t>
  </si>
  <si>
    <t>Sabana Perdida IV</t>
  </si>
  <si>
    <t>Barrio Majagual</t>
  </si>
  <si>
    <t>Guaricano l</t>
  </si>
  <si>
    <t>Calle 1ro de Mayo Esq. Fray Anton De Montesinos</t>
  </si>
  <si>
    <t>Guaricano ll (Trasladada A El Torito)</t>
  </si>
  <si>
    <t>Av. Hermana Mirabal Frente A La Parada Del Metro Peña Gómez</t>
  </si>
  <si>
    <t>Guaricano 1</t>
  </si>
  <si>
    <t>Barrio La Mina</t>
  </si>
  <si>
    <t>Guaricano 2</t>
  </si>
  <si>
    <t>Barrio Ponce Adentro</t>
  </si>
  <si>
    <t>Villa Mella 1</t>
  </si>
  <si>
    <t>Av. Hermanas Mirabal, Frente a la Parada Gregorio Urbano Gilbert</t>
  </si>
  <si>
    <t>Villa Mella 2</t>
  </si>
  <si>
    <t>Canaan III</t>
  </si>
  <si>
    <t>San Felipe</t>
  </si>
  <si>
    <t>* Villa Mella 3</t>
  </si>
  <si>
    <t>Buena Vista</t>
  </si>
  <si>
    <t>Villa Mella 4</t>
  </si>
  <si>
    <t>Mata Los Indios</t>
  </si>
  <si>
    <t>La Nueva Barquita (Trasladada Desde La Caleta)</t>
  </si>
  <si>
    <t>La Nueva Barquita</t>
  </si>
  <si>
    <t>Santo Domingo Oeste</t>
  </si>
  <si>
    <t>San Miguel (Antigua Alameda)</t>
  </si>
  <si>
    <t>* Villa Aura - Los Olivos</t>
  </si>
  <si>
    <t>Villa Aura - Los Olivos</t>
  </si>
  <si>
    <t>El Libertador (Las Malvinas)</t>
  </si>
  <si>
    <t>Av.  Isabel Aguiar detrás de la Universidad Federico Henriquez y Carvajal</t>
  </si>
  <si>
    <t>El Café De Herrera</t>
  </si>
  <si>
    <t>Calle Central Bo. El Café de Herrera. Detrás Del Santo Domingo Country Club</t>
  </si>
  <si>
    <t>Herrera-Engombe</t>
  </si>
  <si>
    <t>Herrera- Duarte- Buenos Aires 1</t>
  </si>
  <si>
    <t>Herrera- Duarte- Buenos Aires 2</t>
  </si>
  <si>
    <t>Herrera- El Abanico</t>
  </si>
  <si>
    <t>* Las Caobas-El Rosal</t>
  </si>
  <si>
    <t>Las Caobas-El Rosal</t>
  </si>
  <si>
    <t>San Cristóbal</t>
  </si>
  <si>
    <t>Los Molina</t>
  </si>
  <si>
    <t>Calle México casi esq. 6 de Noviembre, puente entrada de San Cristóbal</t>
  </si>
  <si>
    <t>Las Flores</t>
  </si>
  <si>
    <t>La Flores -  Jeringa</t>
  </si>
  <si>
    <t>Madre Vieja del Norte</t>
  </si>
  <si>
    <t>Canastica</t>
  </si>
  <si>
    <t>Bajos de Haina</t>
  </si>
  <si>
    <t>Calle Medio Ambiente (Bajos de Haina - La Cerca) próximo a Carretera Sánchez, al lado de la Escuela)</t>
  </si>
  <si>
    <t>Haina (Baserquillo)</t>
  </si>
  <si>
    <t>Calle La Mina (Calle Del Vertedero) Bo. El  Naranjal (El Frente Está En  La Calle Las Acacias #16</t>
  </si>
  <si>
    <t>Nigua</t>
  </si>
  <si>
    <t>Villa Altagracia</t>
  </si>
  <si>
    <t>Detrás de Infotep, Carretera Duarte Vieja</t>
  </si>
  <si>
    <t>Gregory Pérez</t>
  </si>
  <si>
    <t>San Pedro de Macorís</t>
  </si>
  <si>
    <t>El Brisal</t>
  </si>
  <si>
    <t>Calle Maximiliano Gómez al lado de la Esc. Basica El Brisal</t>
  </si>
  <si>
    <t>Barrio Lindo</t>
  </si>
  <si>
    <t>Barrio  Lindo</t>
  </si>
  <si>
    <t>Las Piedras</t>
  </si>
  <si>
    <t xml:space="preserve">San Pedro de Macorís (Casco Urbano) </t>
  </si>
  <si>
    <t>San Pedro de Macorís  1</t>
  </si>
  <si>
    <t>San Pedro de Macorís 2</t>
  </si>
  <si>
    <t>Consuelo</t>
  </si>
  <si>
    <t>El Seibo</t>
  </si>
  <si>
    <t>Los Hoyitos</t>
  </si>
  <si>
    <t>Calle Asomante Esq. Calle Mella</t>
  </si>
  <si>
    <t>Hato Mayor</t>
  </si>
  <si>
    <t>Villa Vilorio</t>
  </si>
  <si>
    <t>Calle Principal Bo. Las Chinas</t>
  </si>
  <si>
    <t>Sabana de la Mar</t>
  </si>
  <si>
    <t>La Romana</t>
  </si>
  <si>
    <t>Savica -  Quisqueya</t>
  </si>
  <si>
    <t>Villa Verde</t>
  </si>
  <si>
    <t>Guaymate</t>
  </si>
  <si>
    <t>Municipio Guaymate</t>
  </si>
  <si>
    <t>Villa Hermosa</t>
  </si>
  <si>
    <t>Piedra Linda</t>
  </si>
  <si>
    <t>Calle Minerva Mirabal Esq. Calle 4ta, Reparto Torres</t>
  </si>
  <si>
    <t>Barrio Piedra Linda</t>
  </si>
  <si>
    <t>Los Mulos</t>
  </si>
  <si>
    <t>Barrio Los Mulos</t>
  </si>
  <si>
    <t>La Altagracia</t>
  </si>
  <si>
    <t>Higüey</t>
  </si>
  <si>
    <t>La Malena</t>
  </si>
  <si>
    <t>Calle Leo Tavares Esq. Calle Fidel Rijo</t>
  </si>
  <si>
    <t>La Aviación-Savica</t>
  </si>
  <si>
    <t>Villa Cerro</t>
  </si>
  <si>
    <t>Calle Gaston F. Deligne Esq. Calle Casandra Damirón</t>
  </si>
  <si>
    <t>Higüey/Distrito Municipal Verón-Punta Cana</t>
  </si>
  <si>
    <t>La Cristinita</t>
  </si>
  <si>
    <t>Calle Entrada A Cristinita Al Lado De La Escuela Básica La Cristinita</t>
  </si>
  <si>
    <t>Distrito Municipal Verón-Punta Cana</t>
  </si>
  <si>
    <t>Veron – Bavaro 1</t>
  </si>
  <si>
    <t>Veron – Bavaro 2</t>
  </si>
  <si>
    <t>San Rafael del Yuma</t>
  </si>
  <si>
    <t>Anny Almánzar</t>
  </si>
  <si>
    <t>Duarte</t>
  </si>
  <si>
    <t>San Francisco de Macorís</t>
  </si>
  <si>
    <t>Vista del Valle</t>
  </si>
  <si>
    <t>Calle 1ra detrás de la Policlinica</t>
  </si>
  <si>
    <t>Calle Castillo Esq. Gaston F. Deligne</t>
  </si>
  <si>
    <t>San  Martin (Los Rieles)</t>
  </si>
  <si>
    <t>Av. Eduardo Kunhardt</t>
  </si>
  <si>
    <t>Hermanas Mirabal</t>
  </si>
  <si>
    <t>Calle Castillo Esq. Calle Guadalupe</t>
  </si>
  <si>
    <t>Bloque Barrio Hormiguero-Los Jibaritos-Villa Duarte y 24 De Abril</t>
  </si>
  <si>
    <t>Bloque Barrio Hormiguero-Los Jibaritos-Villa Duarte Y 24 De Abril</t>
  </si>
  <si>
    <t>* Urb. Almánzar</t>
  </si>
  <si>
    <t>Las Caobas</t>
  </si>
  <si>
    <t>Calle Las Caobas, al lado del Liceo</t>
  </si>
  <si>
    <t>María Trinidad Sánchez</t>
  </si>
  <si>
    <t>El Factor</t>
  </si>
  <si>
    <t>Centro del Pueblo</t>
  </si>
  <si>
    <t>Nagua</t>
  </si>
  <si>
    <t>Sector El Tren/ Las 500tas</t>
  </si>
  <si>
    <t>San José de Villa</t>
  </si>
  <si>
    <t>Samaná</t>
  </si>
  <si>
    <t>Samana</t>
  </si>
  <si>
    <t>Maria Luisa</t>
  </si>
  <si>
    <t>Sánchez</t>
  </si>
  <si>
    <t>Sánchez (Trasladada de Samaná)</t>
  </si>
  <si>
    <t>Las Terrenas</t>
  </si>
  <si>
    <t>La Vega</t>
  </si>
  <si>
    <t>Las Carmelitas</t>
  </si>
  <si>
    <t>Calle Prolongacion Alfredo Peralta Michel, próximo a la Iglesia de los Mormones, Las Carmelitas</t>
  </si>
  <si>
    <t>Palmarito-Amada II</t>
  </si>
  <si>
    <t>Zona Verde Residencial Amada II</t>
  </si>
  <si>
    <t>El Hatico</t>
  </si>
  <si>
    <t>Calle Jose Marti Proximo a la Cerveceria Vegana</t>
  </si>
  <si>
    <t>* La Vega</t>
  </si>
  <si>
    <t>La Vega (La Arboleda I-IV)</t>
  </si>
  <si>
    <t>Constanza</t>
  </si>
  <si>
    <t>Jarabacoa</t>
  </si>
  <si>
    <t>Sánchez Ramírez</t>
  </si>
  <si>
    <t>Cotui</t>
  </si>
  <si>
    <t>Cotui 2</t>
  </si>
  <si>
    <t>Barrios La Cruz-La Yagua</t>
  </si>
  <si>
    <t>Isania Muñoz</t>
  </si>
  <si>
    <t>Dajabón</t>
  </si>
  <si>
    <t>La Bomba</t>
  </si>
  <si>
    <t>Dajabon</t>
  </si>
  <si>
    <t>Loma de Cabrera</t>
  </si>
  <si>
    <t>Elly Almánzar</t>
  </si>
  <si>
    <t>Monte Cristi</t>
  </si>
  <si>
    <t>Barrio Buenos Aires (Las Antenas)</t>
  </si>
  <si>
    <t>Barrios Salomón Jorge-Francisco Javier</t>
  </si>
  <si>
    <t>Pepillo Salcedo</t>
  </si>
  <si>
    <t>Centro Del Pueblo</t>
  </si>
  <si>
    <t>Puerto Plata</t>
  </si>
  <si>
    <t>San Marcos</t>
  </si>
  <si>
    <t>El Avispero</t>
  </si>
  <si>
    <t>Puerto Plata 1</t>
  </si>
  <si>
    <t>Sosua</t>
  </si>
  <si>
    <t xml:space="preserve">Santiago </t>
  </si>
  <si>
    <t>Santiago</t>
  </si>
  <si>
    <t>Ingenio Arriba, Cienfuegos</t>
  </si>
  <si>
    <t>Calle Las Flores, Detrás De La Escuela Ingenio Arriba</t>
  </si>
  <si>
    <t>Ensanche La Fe, Cienfuegos</t>
  </si>
  <si>
    <t>Cienfuego</t>
  </si>
  <si>
    <t>Ensanche Bolivar, Los Platanitos</t>
  </si>
  <si>
    <t>Calle 4, Ens,. Bolivar, Los Platanitos</t>
  </si>
  <si>
    <t>Gurabo Abajo</t>
  </si>
  <si>
    <t>* Villa Olímpica</t>
  </si>
  <si>
    <t>Villa Olimpica</t>
  </si>
  <si>
    <t>Espaillat</t>
  </si>
  <si>
    <t>Calle 10, entre calle 6 y calle 7, Ens. Espaillat</t>
  </si>
  <si>
    <t>Yaguita De Pastor</t>
  </si>
  <si>
    <t>Calle Proyecto 1, Yaguita de Pastor, Alto de Elías</t>
  </si>
  <si>
    <t>La Herradura (Trasladada Del Distrito Municipal Hato Del Yaqué 1)</t>
  </si>
  <si>
    <t>La Herradura</t>
  </si>
  <si>
    <t>Arroyo Hondo, entrada del Tanque de La Noriega</t>
  </si>
  <si>
    <t>Zona Franca PISANO</t>
  </si>
  <si>
    <t>Ciruelito/Camboya</t>
  </si>
  <si>
    <t>Distrito Municipal Hato del Yaque</t>
  </si>
  <si>
    <t>Barrio Villa Progreso, Frente a Escuela Japón</t>
  </si>
  <si>
    <t>San José de las Matas</t>
  </si>
  <si>
    <t>Villa Bisonó (Navarrete)</t>
  </si>
  <si>
    <t>Tamboril</t>
  </si>
  <si>
    <t>Guazumal Abajo, Tamboril</t>
  </si>
  <si>
    <t>Calle Andrés Cabrera Esq.  Carretera Bolivar Peña</t>
  </si>
  <si>
    <t>27 de Febrero, Villa Bisonó, Navarrete</t>
  </si>
  <si>
    <t>Calle Principal, Bo. 27 De Febrero, Navarrete</t>
  </si>
  <si>
    <t>Navarrete</t>
  </si>
  <si>
    <t>Santiago Rodríguez</t>
  </si>
  <si>
    <t>San Ignacio De Sabaneta</t>
  </si>
  <si>
    <t>San Ignacio De Sabaneta (Villa Polin)</t>
  </si>
  <si>
    <t>Villa Polín</t>
  </si>
  <si>
    <t>San Ignacio De Sabaneta (Trasladado hacia Villa Los Almácigos)</t>
  </si>
  <si>
    <t>Villa Los Almácigos</t>
  </si>
  <si>
    <t>Valverde</t>
  </si>
  <si>
    <t>Esperanza</t>
  </si>
  <si>
    <t>Calle Núñez de Cáceres #42, Bo. La Altagracia</t>
  </si>
  <si>
    <t>Barrio Tito Cabrera</t>
  </si>
  <si>
    <t>Mao</t>
  </si>
  <si>
    <t>Calle Carlos Fermín Esq. Mario Guzmán, Bo. San Antonio</t>
  </si>
  <si>
    <t>Barrios La Compuerta-Buenos Aires-Cañada Piedra</t>
  </si>
  <si>
    <t>Moca</t>
  </si>
  <si>
    <t>Calle Las Flores , casi al lado de la Panificadora Moca</t>
  </si>
  <si>
    <t>Los López</t>
  </si>
  <si>
    <t>Prolongación Rosario detrás de la Escuela Los López</t>
  </si>
  <si>
    <t>* Moca El Caimito (Barrio Don Pulú)</t>
  </si>
  <si>
    <t>Moca - Barrio La Milagrosa ( (Trasladada hacia San Víctor)</t>
  </si>
  <si>
    <t>San Víctor</t>
  </si>
  <si>
    <t>Gaspar Hernández</t>
  </si>
  <si>
    <t>Monseñor Nouel</t>
  </si>
  <si>
    <t>Bonao</t>
  </si>
  <si>
    <t>Monseñol Nouel / Villa Mella (Lino Abreu)</t>
  </si>
  <si>
    <t>Calle Río Piedras Esq. Calle Los Santos, Lino Abreu</t>
  </si>
  <si>
    <t>Barrios San José-Ens. Libertad-Las Hortencias</t>
  </si>
  <si>
    <t>Monte Plata</t>
  </si>
  <si>
    <t>Monte Plata (Barrio Los Choferes)</t>
  </si>
  <si>
    <t>Barrio Los Choferes, detrás de la Asoc. de Camioneros</t>
  </si>
  <si>
    <t>Barrio Vietnan</t>
  </si>
  <si>
    <t>Bayaguana</t>
  </si>
  <si>
    <t>Sabana Grande de Boyá</t>
  </si>
  <si>
    <t>Sabana Grande de Boya</t>
  </si>
  <si>
    <t>Yamasá</t>
  </si>
  <si>
    <t>DIRECCIÓN QUISQUEYA EMPIEZA CONTIGO - QEC</t>
  </si>
  <si>
    <t>CAIPI Previstos</t>
  </si>
  <si>
    <t>Cantidad</t>
  </si>
  <si>
    <t>En construcción</t>
  </si>
  <si>
    <t xml:space="preserve">Detenido </t>
  </si>
  <si>
    <t>Total</t>
  </si>
  <si>
    <r>
      <t>DIRECCIÓN GENERAL DE PROGRAMAS ESPECIALES DE LA PRESIDENCIA</t>
    </r>
    <r>
      <rPr>
        <sz val="12"/>
        <color theme="1"/>
        <rFont val="Calibri"/>
        <family val="2"/>
        <scheme val="minor"/>
      </rPr>
      <t xml:space="preserve"> </t>
    </r>
    <r>
      <rPr>
        <b/>
        <sz val="12"/>
        <color theme="1"/>
        <rFont val="Calibri"/>
        <family val="2"/>
        <scheme val="minor"/>
      </rPr>
      <t>DIGEPEP</t>
    </r>
  </si>
  <si>
    <t>CAIPI Previsto y Situación del Proceso de infraestructura del Plan QEC en el Distrito Nacional</t>
  </si>
  <si>
    <t>Nombre Polígono Previsto</t>
  </si>
  <si>
    <t>Localización</t>
  </si>
  <si>
    <t>Estado Adquisición  Terrenos</t>
  </si>
  <si>
    <t>División Politica</t>
  </si>
  <si>
    <t>Circunsp. 3</t>
  </si>
  <si>
    <t>Los Girasoles II</t>
  </si>
  <si>
    <t>Circunsp. 2</t>
  </si>
  <si>
    <t>Circunsp. 1</t>
  </si>
  <si>
    <t>División politica</t>
  </si>
  <si>
    <t>Detenido  pago Cubicación</t>
  </si>
  <si>
    <t>Etapa preliminar</t>
  </si>
  <si>
    <t>CAIPI Previsto y Situación del Proceso de infraestructura del Plan QEC en la Provincia de Santo Domingo</t>
  </si>
  <si>
    <t>Nº</t>
  </si>
  <si>
    <t>Coordenada</t>
  </si>
  <si>
    <t>Andrés</t>
  </si>
  <si>
    <t>Los Frailes (Trasladada Desde Los Rios II)</t>
  </si>
  <si>
    <t>SDE</t>
  </si>
  <si>
    <t>Guerra</t>
  </si>
  <si>
    <t>SDN</t>
  </si>
  <si>
    <t>SDO</t>
  </si>
  <si>
    <t xml:space="preserve">CUADRO RESUMEN ESTADO PROVINCIA SANTO DOMINGO </t>
  </si>
  <si>
    <t xml:space="preserve">Suma de TOTAL CAIPI INICIADO </t>
  </si>
  <si>
    <t>Suma de TOTAL CAIPI SIN INICIAR</t>
  </si>
  <si>
    <t>Suma de CAIPI INAUGURADO</t>
  </si>
  <si>
    <t>Total general</t>
  </si>
  <si>
    <t>La Descubierta (se Trasladó el contratista desde Neiba)</t>
  </si>
  <si>
    <t>Barrios Los Jazmines –Pekín 2</t>
  </si>
  <si>
    <t>Osiris Antonio Liberato Tavares</t>
  </si>
  <si>
    <t xml:space="preserve"> La Otra Banda  (Trasladada Del Bloque Barrio Reparto Peralta, Yagüita de Pastor)</t>
  </si>
  <si>
    <t xml:space="preserve">Barrios Los Jazmines – Papayo-Pekin 1 (Trasladada hacia Zona Franca Parque Industrial Santiago Norte - PISANO) </t>
  </si>
  <si>
    <t>Ciudad Juan Bosch</t>
  </si>
  <si>
    <t>Escuela Trina de Moya</t>
  </si>
  <si>
    <t>La Canela (Trasladada Del Bloque Ensanche Bolívar-Ens. Hermanas Mirabal-El Ejido)</t>
  </si>
  <si>
    <t>DEPARTAMENTO DE INFRAESTRUCTURA</t>
  </si>
  <si>
    <t xml:space="preserve">                 DEPARTAMENTO DE INFRAESTRUCTURA</t>
  </si>
  <si>
    <t>Redención Pantoja</t>
  </si>
  <si>
    <t>Tipo CAIPI</t>
  </si>
  <si>
    <t>La Fe (Trasladada de Los Alcarrizos Zona Franca)</t>
  </si>
  <si>
    <r>
      <t xml:space="preserve">Villa Jaragua </t>
    </r>
    <r>
      <rPr>
        <b/>
        <sz val="12"/>
        <color rgb="FFFF0000"/>
        <rFont val="Cambria"/>
        <family val="1"/>
      </rPr>
      <t>(Trasladada desde Villa Liberación, SJM)</t>
    </r>
  </si>
  <si>
    <t>Brisas del Este, SDE (Trasladada desde Herrera - La Altagracia 1)</t>
  </si>
  <si>
    <t>Ciudad Juan Bosch (Distrito Municipal Hato del Yaque II)</t>
  </si>
  <si>
    <t xml:space="preserve"> Villa Liberación</t>
  </si>
  <si>
    <t>Dirección</t>
  </si>
  <si>
    <t>Dimensiones requeridas: 25x50, 30x40, 35x47,  50x70, 20x30 (metros cuadrados)</t>
  </si>
  <si>
    <t xml:space="preserve">Los Ríos </t>
  </si>
  <si>
    <t>Calle 10 Próximo a la Tienda L&amp;R</t>
  </si>
  <si>
    <t>Av Los Martires Casi Esq. Maximo Gómez</t>
  </si>
  <si>
    <t xml:space="preserve">Calle Guayajal Casi Esq Calle Guayubín, </t>
  </si>
  <si>
    <r>
      <t xml:space="preserve"> Neiba</t>
    </r>
    <r>
      <rPr>
        <b/>
        <sz val="12"/>
        <color rgb="FFFF0000"/>
        <rFont val="Cambria"/>
        <family val="1"/>
      </rPr>
      <t xml:space="preserve"> (Trasladada desde Mejoramiento Social DN)</t>
    </r>
  </si>
  <si>
    <t xml:space="preserve">La Canela Trasladada desde Bloque Ensanche Bolívar-Ens. Hermanas Mirabal-El Ejido </t>
  </si>
  <si>
    <t>Ciudad Educativa El Bonito</t>
  </si>
  <si>
    <t>Trasladada desde Villa Juana Zona Franca PIISA</t>
  </si>
  <si>
    <t xml:space="preserve">Santo Domingo Este </t>
  </si>
  <si>
    <t>Base Aérea San Isidro</t>
  </si>
  <si>
    <t>Base Aérea San Isidro (Trasladada desde Urb. Primaveral)</t>
  </si>
  <si>
    <t>San Vicente de Paul 2 (Megacentro)</t>
  </si>
  <si>
    <t>San Vicente de Paul 1 (Megacentro)</t>
  </si>
  <si>
    <t>Circunsp 3</t>
  </si>
  <si>
    <t>Circunsp 2</t>
  </si>
  <si>
    <t>Circunsp 1</t>
  </si>
  <si>
    <t>División politica SDE</t>
  </si>
  <si>
    <t>División Politica SDE</t>
  </si>
  <si>
    <t>Santo Domingo Norte</t>
  </si>
  <si>
    <t>Palmar Encantado</t>
  </si>
  <si>
    <t>Zona Franca PIISA (Trasladada desde Villa Juana, DN)</t>
  </si>
  <si>
    <t>Maimón (Trasladada desde Bloque Barrio Alto de Javiela y Ens. Castellana, SFM)</t>
  </si>
  <si>
    <t>Maimón</t>
  </si>
  <si>
    <t>Escuela Trina de Moya (Trasladada desde Gurabo 2)</t>
  </si>
  <si>
    <t>Vicente Noble</t>
  </si>
  <si>
    <t>Vicente Noble (Trasladado desde Bani 1)</t>
  </si>
  <si>
    <t>Nolis Jáquez</t>
  </si>
  <si>
    <t>La Puya (traspadada desde Cristo Rey 3)</t>
  </si>
  <si>
    <t>Los Frailes 1 o 2 (Trasladada desde Ensanche Luperón)</t>
  </si>
  <si>
    <t>Miches</t>
  </si>
  <si>
    <t>Tamayo (trasladada desde Maria Auxiliadora II)</t>
  </si>
  <si>
    <t>C/Carlos G. Ruiz, Bo. Luis Manuel Caraballo</t>
  </si>
  <si>
    <t>San Luis (trasladada desde Zona Universitaria)</t>
  </si>
  <si>
    <t>Pedro Brand</t>
  </si>
  <si>
    <t>Ángela Santana</t>
  </si>
  <si>
    <t>Esc. Vocacional de las FFAA y PN (Trasladada desde Manoguayabo)</t>
  </si>
  <si>
    <t>El Carril</t>
  </si>
  <si>
    <t>El Carril (trasladasa desde Bajos de Haina)</t>
  </si>
  <si>
    <t>Esc. Vocacional de las FFAA y PN (Trasladada desde Barrio Villa Verde, La Romana)</t>
  </si>
  <si>
    <t>San Rafael del Yuma (Trasladada desde El Seibo)</t>
  </si>
  <si>
    <t>Villa Tapia (Trasladado desde Salcedo)</t>
  </si>
  <si>
    <t>Fantino</t>
  </si>
  <si>
    <t xml:space="preserve"> Fantino (Trasladar)da desde Cotui 1)</t>
  </si>
  <si>
    <r>
      <t xml:space="preserve">Loma de Cabrera </t>
    </r>
    <r>
      <rPr>
        <b/>
        <sz val="12"/>
        <color rgb="FFFF0000"/>
        <rFont val="Cambria"/>
        <family val="1"/>
      </rPr>
      <t>(Trasladada desde Bonao centro)</t>
    </r>
  </si>
  <si>
    <t>Villa Vásquez</t>
  </si>
  <si>
    <t xml:space="preserve"> Puerto Plata (Los Maestros)</t>
  </si>
  <si>
    <t>Licey al Medio</t>
  </si>
  <si>
    <t>Zona Franca La Vega (Trasladada desde Bloque Barrio San José La Mina-Barrio Lindo, Stgo)</t>
  </si>
  <si>
    <t>Santiago (retomada de Puñal / Yapur Dumit)</t>
  </si>
  <si>
    <t>Tenares (retomada de Jánico / Simón Bolívar 1er sorteo)</t>
  </si>
  <si>
    <t>Tenares</t>
  </si>
  <si>
    <t>Parque Cibernético ITLA (trasladada desde Capotillo 2)</t>
  </si>
  <si>
    <t xml:space="preserve">Moca </t>
  </si>
  <si>
    <t xml:space="preserve">Jima </t>
  </si>
  <si>
    <t>Jima Abajo (trasladada desde Tamboril, Santiago)</t>
  </si>
  <si>
    <t>Peralta (trasladada desde Herrera - Libertador)</t>
  </si>
  <si>
    <t>Consuelo (Trasladado desded Juan Pablo Duarte SPM)</t>
  </si>
  <si>
    <t>Laguna Salada (Trasladada desde Portal - Athala, DN)</t>
  </si>
  <si>
    <t>El Bonito (Trasladado deade Barrios Isabelita/ Los Mameyes 2)</t>
  </si>
  <si>
    <t>A reubicar</t>
  </si>
  <si>
    <t>Esc. Vocacional FFAA y PN (trasladada desde Las Colinas, Santiago)</t>
  </si>
  <si>
    <t xml:space="preserve">Peralta </t>
  </si>
  <si>
    <t xml:space="preserve">Vicente Noble </t>
  </si>
  <si>
    <t>Tamayo</t>
  </si>
  <si>
    <t xml:space="preserve">La Puya </t>
  </si>
  <si>
    <t xml:space="preserve">Parque Cibernético ITLA </t>
  </si>
  <si>
    <t xml:space="preserve">Brisas del Este, SDE </t>
  </si>
  <si>
    <t xml:space="preserve">Cancino Adentro, SDE </t>
  </si>
  <si>
    <t>Cancino Adentro, SDE (Trasladada desde Maria Auxiliadora)</t>
  </si>
  <si>
    <t>San Vicente (Trasladada desde La Altagracia 2/Sto Dgo</t>
  </si>
  <si>
    <t>San Vicente de Paul 2 (Trasladada desde Los Km. Carretera Sánchez)</t>
  </si>
  <si>
    <t>San Luis</t>
  </si>
  <si>
    <t xml:space="preserve">Villa Jerusalem </t>
  </si>
  <si>
    <t>Villa Jerusalem (Trasladada desde Herrera- El Café)</t>
  </si>
  <si>
    <t>Zona Franca San Isidro (Trasladada desde Ens. La Fe)</t>
  </si>
  <si>
    <t xml:space="preserve">Zona Franca San Isidro </t>
  </si>
  <si>
    <t>Zona Franca DW World Caudedo</t>
  </si>
  <si>
    <t xml:space="preserve">Los Frailes 1 o 2 </t>
  </si>
  <si>
    <t xml:space="preserve">Aguas Locas -Nuevo Jerusalem </t>
  </si>
  <si>
    <t>Aguas Locas -Nuevo Jerusalem (Trasladada desde Capotillo 1)</t>
  </si>
  <si>
    <t>Zona Franca DW World Caudedo (Trasladada desde Ens. Quisqueya)</t>
  </si>
  <si>
    <t>Pedro Brand (Trasladada desde Alcarrizos 3 - Bo. Hato Nuevo)</t>
  </si>
  <si>
    <t>La Victoria, SDN  (Trasladada desde Sabana Perdida III)</t>
  </si>
  <si>
    <t xml:space="preserve">La Victoria, SDN  </t>
  </si>
  <si>
    <t>Villa Mella</t>
  </si>
  <si>
    <t xml:space="preserve">Esc. Vocacional de las FFAA y PN </t>
  </si>
  <si>
    <t>Cambita</t>
  </si>
  <si>
    <t>Cambita (Trasladada desde San Cristóbal Casco Urbano)</t>
  </si>
  <si>
    <t xml:space="preserve">Miches </t>
  </si>
  <si>
    <t>Miches (Trasladada desde Simón Bolívar 1er sorteo, DN)</t>
  </si>
  <si>
    <t xml:space="preserve">San Rafael del Yuma </t>
  </si>
  <si>
    <t xml:space="preserve"> Fantino </t>
  </si>
  <si>
    <t xml:space="preserve">Loma de Cabrera </t>
  </si>
  <si>
    <t xml:space="preserve">Villa Vásquez </t>
  </si>
  <si>
    <t>Villa Vásquez (Trasladada desde Padre Granero, Pto Plata)</t>
  </si>
  <si>
    <t xml:space="preserve"> Zona Franca Puerto Plata </t>
  </si>
  <si>
    <t xml:space="preserve"> Zona Franca Puerto Plata (Trasladada desde Puerto Plata 2)</t>
  </si>
  <si>
    <t>Licey al Medio (Trasladada desde Imbert)</t>
  </si>
  <si>
    <t xml:space="preserve">Zona Franca La Vega </t>
  </si>
  <si>
    <t xml:space="preserve">Zona Franca Gurabo </t>
  </si>
  <si>
    <t>Zona Franca Gurabo (Traslada de Puñal, antigua Yapur Dumit)</t>
  </si>
  <si>
    <t>Tenares (Traslaada desde de Jánico, antigua Simón Bolívar 1er sorteo)</t>
  </si>
  <si>
    <r>
      <rPr>
        <b/>
        <sz val="12"/>
        <color rgb="FFFF0000"/>
        <rFont val="Cambria"/>
        <family val="1"/>
      </rPr>
      <t xml:space="preserve"> Villa Los Almácigos </t>
    </r>
    <r>
      <rPr>
        <sz val="12"/>
        <color rgb="FFFF0000"/>
        <rFont val="Cambria"/>
        <family val="1"/>
      </rPr>
      <t xml:space="preserve"> </t>
    </r>
    <r>
      <rPr>
        <b/>
        <sz val="12"/>
        <color rgb="FFFF0000"/>
        <rFont val="Cambria"/>
        <family val="1"/>
      </rPr>
      <t>(Trasladado desde San Ignacio de Sabanet)</t>
    </r>
  </si>
  <si>
    <t>Al lado de la Escuela La Trinitaria</t>
  </si>
  <si>
    <t xml:space="preserve">Monción (trasladada desde Sosua, Los Charamicos) </t>
  </si>
  <si>
    <t>Al lado del Parque Municipal Vista del Valle</t>
  </si>
  <si>
    <t>Esc. Vocacional FFAA y PN</t>
  </si>
  <si>
    <t>Al lado de la Escuela Juan Bosch</t>
  </si>
  <si>
    <t>Calle Gastón F. Deligne. Al lado de la Escuela</t>
  </si>
  <si>
    <t>Carretera Bayaguana - Hato Mayor, antes del cementerio</t>
  </si>
  <si>
    <t>Al lado del Liceo y Escuela Básica nuevos</t>
  </si>
  <si>
    <t>Frente al Play de Bseball San Víctor</t>
  </si>
  <si>
    <t>Calle 22, al lado del Cenro Educativo El Caimito, La Rosario.</t>
  </si>
  <si>
    <t>Detrás de la Ferretería Hermanos Ureña Minier, Barrio Los Candelones</t>
  </si>
  <si>
    <t>Calle 6, frente a Escuela Ma Elena Cruz</t>
  </si>
  <si>
    <t>Calle Manolo Tavares Justo esq. Calle Eliseo Pérez, Pekín</t>
  </si>
  <si>
    <t>Calle Penetración, Villa Olimpica</t>
  </si>
  <si>
    <t>Calle Buena Vista esq. Calle 5, al lado de la escuela</t>
  </si>
  <si>
    <t>Calle 13 esq. Av. Circunvalación</t>
  </si>
  <si>
    <t>Próximo a Esc. San G¿Francisco de Asís, Ensanche La Fe, Monte Rico</t>
  </si>
  <si>
    <t>Próximo al Liceo Prof. josé Morel, La Unión</t>
  </si>
  <si>
    <t>C/Mayor Gral. Ant. Imbert Barreras, frente a la Prisión San Felipe. Barrio Los Maestros</t>
  </si>
  <si>
    <t>Entrada del pueblo</t>
  </si>
  <si>
    <t>Calle José Ccabrera, al lado del CAIP. Barrio El Fogonzo</t>
  </si>
  <si>
    <t>Frente antena de Claro. Barrio Buenos Aires (Las Antenas)</t>
  </si>
  <si>
    <t>Entrando por calle Beller, próximo a la Fortaleza Beller</t>
  </si>
  <si>
    <t>Av. Dulce de Jseús Senfleur, Barrio La Bomba</t>
  </si>
  <si>
    <t>Próximo a prolongación 27 de Febrero, Cotui</t>
  </si>
  <si>
    <t>Calle Colina de los Pomos, en el terreno de la Escuela Manuel Ubaldo Gómez</t>
  </si>
  <si>
    <t>Calle Rafael Delgado casi esq. C/ Matías Ramón Mella</t>
  </si>
  <si>
    <t>Calle Pepe Álvarez casi esq. Calle 19</t>
  </si>
  <si>
    <t>Calle Principal, al lado del Residencial Jardines del Paraiso, Barrio Villa Rosa</t>
  </si>
  <si>
    <t>Calle Jaun Pablo Duarte, a la entrada del pueblo</t>
  </si>
  <si>
    <t>Autopista Nagua - Samaná, entrando por los Multifamiliares</t>
  </si>
  <si>
    <t>Nagua, Entrando Por La Autopista del Nordeste</t>
  </si>
  <si>
    <t>Carretera SFM - Villa Tapia , entrando por la Farmacia Los Jardines</t>
  </si>
  <si>
    <t>Urb. Tejada Cordero, Próximo al Santuario Getsemaní</t>
  </si>
  <si>
    <t>Calle don Elpidio, frente al parque Don Elpidio, Friusa</t>
  </si>
  <si>
    <t>A 570 mts del Centro de Aatención Primaria de erón</t>
  </si>
  <si>
    <t>Calle Fello Turey, Villa Cerro</t>
  </si>
  <si>
    <t>Calle Constitución Esq. Paseo de los Locutores, en los terrenos del INESPRE</t>
  </si>
  <si>
    <t>Calle Pedro Amparo, al lado del Parqeu Infantil</t>
  </si>
  <si>
    <t>Próximo al Motel Jaguar, Villa Verde</t>
  </si>
  <si>
    <t>Calle 3a esq. M-37, Ens. Quisqueya</t>
  </si>
  <si>
    <t>Calle Costa Rica casi esq. C/ Héctor Vinicio Mateo</t>
  </si>
  <si>
    <t>Calle Colón, al lado de la Esc. Nueva, Gualey</t>
  </si>
  <si>
    <t>Próximo al Politécnico Inmaculada Concepción</t>
  </si>
  <si>
    <t>Calle Eduardo Mañón, Ens. Colina III</t>
  </si>
  <si>
    <t>Próximo a calle Padre Lucciani esq. Paseo de las Secretarias, Villa Municipal</t>
  </si>
  <si>
    <t>Calle El Molino, al lado de la Iglesia AIC Fuente de Salvación</t>
  </si>
  <si>
    <t>Calle Principal, en Parque Ecológico Pedro Mir, Las Flores</t>
  </si>
  <si>
    <t>Calle Ana Parra, entrando por el Polideportivo, Barrio La Altagracia</t>
  </si>
  <si>
    <t>Calle Duarte, Centro Zona Urbana</t>
  </si>
  <si>
    <t>Zona Franca PIISA (ITABO)</t>
  </si>
  <si>
    <t>Calle Domingo SAVIO próximo a calle Francisco Caamaño, Barrio Canastica</t>
  </si>
  <si>
    <t>Calle Privada esq. Calle Pedro Ant. García, Barrio Madre Vieja Norte</t>
  </si>
  <si>
    <t>Circunsp 4</t>
  </si>
  <si>
    <t>Circunsp 5</t>
  </si>
  <si>
    <t>Circunsp 6</t>
  </si>
  <si>
    <t>Circunsp 7</t>
  </si>
  <si>
    <t>Circunsp 8</t>
  </si>
  <si>
    <t>Circunsp 9</t>
  </si>
  <si>
    <t>SAN JUAN DE LA MAGUANA</t>
  </si>
  <si>
    <t>María Del Génesis Pimentel</t>
  </si>
  <si>
    <t>Actualizado al 10 Junio 2020</t>
  </si>
  <si>
    <t>Torres Ingenieria, SRL / Juan José Torres</t>
  </si>
  <si>
    <t>2DO</t>
  </si>
  <si>
    <t>SERVICIOS PI OPERANDO (01/09/2020)</t>
  </si>
  <si>
    <t xml:space="preserve">             DEPARTAMENTO DE INFRAESTRUCTURA</t>
  </si>
  <si>
    <t>AL MES DE SEPTIEMBRE 2020</t>
  </si>
  <si>
    <t>Al mes de Septiembre 2020</t>
  </si>
  <si>
    <t>Actualizado a Julio 2024.</t>
  </si>
  <si>
    <t xml:space="preserve">                 Actualizado al mes de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</si>
</sst>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0000"/>
    <numFmt numFmtId="165" formatCode="0%;\-0%;;@"/>
  </numFmts>
  <fonts count="52" x14ac:knownFonts="1">
    <font>
      <sz val="11"/>
      <color theme="1"/>
      <name val="Calibri"/>
      <family val="2"/>
      <scheme val="minor"/>
    </font>
    <font>
      <sz val="11"/>
      <color theme="1"/>
      <name val="Calibri"/>
      <family val="2"/>
      <scheme val="minor"/>
    </font>
    <font>
      <b/>
      <sz val="11"/>
      <color theme="1"/>
      <name val="Times New Roman"/>
      <family val="1"/>
    </font>
    <font>
      <i/>
      <sz val="10"/>
      <color theme="1"/>
      <name val="Calibri"/>
      <family val="2"/>
      <scheme val="minor"/>
    </font>
    <font>
      <b/>
      <sz val="18"/>
      <color theme="1"/>
      <name val="Century"/>
      <family val="1"/>
    </font>
    <font>
      <vertAlign val="superscript"/>
      <sz val="11"/>
      <color theme="1"/>
      <name val="Calibri"/>
      <family val="2"/>
      <scheme val="minor"/>
    </font>
    <font>
      <b/>
      <sz val="10"/>
      <color theme="1"/>
      <name val="Century"/>
      <family val="1"/>
    </font>
    <font>
      <b/>
      <sz val="11"/>
      <color theme="1"/>
      <name val="Calibri"/>
      <family val="2"/>
      <scheme val="minor"/>
    </font>
    <font>
      <b/>
      <sz val="14"/>
      <color theme="1"/>
      <name val="Calibri"/>
      <family val="2"/>
      <scheme val="minor"/>
    </font>
    <font>
      <b/>
      <sz val="10"/>
      <color theme="1"/>
      <name val="Calibri"/>
      <family val="2"/>
      <scheme val="minor"/>
    </font>
    <font>
      <b/>
      <sz val="12"/>
      <color theme="1"/>
      <name val="Calibri"/>
      <family val="2"/>
      <scheme val="minor"/>
    </font>
    <font>
      <b/>
      <sz val="14"/>
      <color theme="1"/>
      <name val="Century"/>
      <family val="1"/>
    </font>
    <font>
      <sz val="11"/>
      <name val="Calibri"/>
      <family val="2"/>
      <scheme val="minor"/>
    </font>
    <font>
      <sz val="11"/>
      <color theme="1"/>
      <name val="Calibri"/>
      <family val="2"/>
    </font>
    <font>
      <sz val="14"/>
      <color theme="1"/>
      <name val="Calibri"/>
      <family val="2"/>
      <scheme val="minor"/>
    </font>
    <font>
      <sz val="16"/>
      <color theme="1"/>
      <name val="Calibri"/>
      <family val="2"/>
      <scheme val="minor"/>
    </font>
    <font>
      <sz val="12"/>
      <color theme="1"/>
      <name val="Cambria"/>
      <family val="1"/>
    </font>
    <font>
      <sz val="12"/>
      <name val="Cambria"/>
      <family val="1"/>
    </font>
    <font>
      <b/>
      <sz val="12"/>
      <color theme="1"/>
      <name val="Cambria"/>
      <family val="1"/>
    </font>
    <font>
      <b/>
      <sz val="16"/>
      <color theme="1"/>
      <name val="Century"/>
      <family val="1"/>
    </font>
    <font>
      <b/>
      <sz val="11"/>
      <color theme="1"/>
      <name val="Cambria"/>
      <family val="1"/>
    </font>
    <font>
      <sz val="11"/>
      <color theme="1"/>
      <name val="Cambria"/>
      <family val="1"/>
    </font>
    <font>
      <b/>
      <sz val="16"/>
      <color theme="1"/>
      <name val="Calibri"/>
      <family val="2"/>
      <scheme val="minor"/>
    </font>
    <font>
      <b/>
      <sz val="14"/>
      <color theme="1"/>
      <name val="Cambria"/>
      <family val="1"/>
    </font>
    <font>
      <b/>
      <sz val="18"/>
      <color theme="1"/>
      <name val="Calibri"/>
      <family val="2"/>
      <scheme val="minor"/>
    </font>
    <font>
      <sz val="11"/>
      <name val="Cambria"/>
      <family val="1"/>
    </font>
    <font>
      <b/>
      <sz val="9"/>
      <color theme="1"/>
      <name val="Cambria"/>
      <family val="1"/>
    </font>
    <font>
      <b/>
      <sz val="14"/>
      <name val="Cambria"/>
      <family val="1"/>
    </font>
    <font>
      <sz val="14"/>
      <name val="Calibri"/>
      <family val="2"/>
      <scheme val="minor"/>
    </font>
    <font>
      <sz val="12"/>
      <color theme="1"/>
      <name val="Calibri"/>
      <family val="2"/>
      <scheme val="minor"/>
    </font>
    <font>
      <sz val="12"/>
      <color rgb="FFFF0000"/>
      <name val="Cambria"/>
      <family val="1"/>
    </font>
    <font>
      <sz val="10"/>
      <color theme="1"/>
      <name val="Calibri"/>
      <family val="2"/>
      <scheme val="minor"/>
    </font>
    <font>
      <sz val="10"/>
      <name val="Cambria"/>
      <family val="1"/>
    </font>
    <font>
      <sz val="10"/>
      <name val="Book Antiqua"/>
      <family val="1"/>
    </font>
    <font>
      <sz val="10"/>
      <color theme="1"/>
      <name val="Book Antiqua"/>
      <family val="1"/>
    </font>
    <font>
      <b/>
      <sz val="18"/>
      <color theme="1"/>
      <name val="Cambria"/>
      <family val="1"/>
    </font>
    <font>
      <i/>
      <sz val="12"/>
      <color theme="1"/>
      <name val="Calibri"/>
      <family val="2"/>
      <scheme val="minor"/>
    </font>
    <font>
      <b/>
      <sz val="14"/>
      <name val="Calibri"/>
      <family val="2"/>
      <scheme val="minor"/>
    </font>
    <font>
      <b/>
      <sz val="16"/>
      <color theme="1"/>
      <name val="Bookman Old Style"/>
      <family val="1"/>
    </font>
    <font>
      <sz val="9.75"/>
      <color rgb="FF000000"/>
      <name val="Times New Roman"/>
      <family val="1"/>
    </font>
    <font>
      <b/>
      <sz val="10"/>
      <color theme="1"/>
      <name val="Cambria"/>
      <family val="1"/>
    </font>
    <font>
      <b/>
      <sz val="12"/>
      <color rgb="FFFF0000"/>
      <name val="Cambria"/>
      <family val="1"/>
    </font>
    <font>
      <sz val="16"/>
      <name val="Calibri"/>
      <family val="2"/>
      <scheme val="minor"/>
    </font>
    <font>
      <b/>
      <sz val="16"/>
      <name val="Calibri"/>
      <family val="2"/>
      <scheme val="minor"/>
    </font>
    <font>
      <b/>
      <sz val="12"/>
      <color theme="1"/>
      <name val="Century"/>
      <family val="1"/>
    </font>
    <font>
      <sz val="11"/>
      <color rgb="FF000000"/>
      <name val="Cambria"/>
      <family val="1"/>
    </font>
    <font>
      <b/>
      <sz val="12"/>
      <color rgb="FF000000"/>
      <name val="Cambria"/>
      <family val="1"/>
    </font>
    <font>
      <sz val="12"/>
      <color rgb="FF000000"/>
      <name val="Cambria"/>
      <family val="1"/>
    </font>
    <font>
      <u/>
      <sz val="11"/>
      <color theme="10"/>
      <name val="Calibri"/>
      <family val="2"/>
      <scheme val="minor"/>
    </font>
    <font>
      <b/>
      <sz val="12"/>
      <name val="Cambria"/>
      <family val="1"/>
    </font>
    <font>
      <b/>
      <sz val="18"/>
      <name val="Century"/>
      <family val="1"/>
    </font>
    <font>
      <b/>
      <sz val="1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auto="1"/>
      </patternFill>
    </fill>
    <fill>
      <patternFill patternType="solid">
        <fgColor theme="3" tint="0.79998168889431442"/>
        <bgColor indexed="64"/>
      </patternFill>
    </fill>
    <fill>
      <patternFill patternType="solid">
        <fgColor theme="5" tint="0.59999389629810485"/>
        <bgColor indexed="64"/>
      </patternFill>
    </fill>
    <fill>
      <patternFill patternType="solid">
        <fgColor rgb="FFB5D2ED"/>
        <bgColor indexed="64"/>
      </patternFill>
    </fill>
    <fill>
      <patternFill patternType="solid">
        <fgColor rgb="FFFFFFFF"/>
      </patternFill>
    </fill>
    <fill>
      <patternFill patternType="solid">
        <fgColor theme="7" tint="0.79998168889431442"/>
        <bgColor indexed="64"/>
      </patternFill>
    </fill>
    <fill>
      <patternFill patternType="solid">
        <fgColor rgb="FFFFFFFF"/>
        <bgColor rgb="FF000000"/>
      </patternFill>
    </fill>
    <fill>
      <patternFill patternType="solid">
        <fgColor rgb="FFFFA7C4"/>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theme="4" tint="-0.499984740745262"/>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theme="4" tint="-0.499984740745262"/>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theme="4" tint="-0.499984740745262"/>
      </bottom>
      <diagonal/>
    </border>
    <border>
      <left style="thin">
        <color indexed="64"/>
      </left>
      <right/>
      <top style="double">
        <color theme="4" tint="-0.499984740745262"/>
      </top>
      <bottom style="thin">
        <color indexed="64"/>
      </bottom>
      <diagonal/>
    </border>
    <border>
      <left/>
      <right style="thin">
        <color indexed="64"/>
      </right>
      <top style="double">
        <color theme="4" tint="-0.499984740745262"/>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theme="4" tint="-0.499984740745262"/>
      </bottom>
      <diagonal/>
    </border>
    <border>
      <left style="thin">
        <color indexed="64"/>
      </left>
      <right style="medium">
        <color indexed="64"/>
      </right>
      <top style="hair">
        <color indexed="64"/>
      </top>
      <bottom style="double">
        <color theme="4" tint="-0.499984740745262"/>
      </bottom>
      <diagonal/>
    </border>
    <border>
      <left style="medium">
        <color indexed="64"/>
      </left>
      <right style="thin">
        <color indexed="64"/>
      </right>
      <top style="double">
        <color theme="4" tint="-0.499984740745262"/>
      </top>
      <bottom style="thin">
        <color indexed="64"/>
      </bottom>
      <diagonal/>
    </border>
    <border>
      <left style="thin">
        <color indexed="64"/>
      </left>
      <right style="medium">
        <color indexed="64"/>
      </right>
      <top style="double">
        <color theme="4" tint="-0.499984740745262"/>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double">
        <color theme="4" tint="-0.499984740745262"/>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theme="4" tint="-0.499984740745262"/>
      </bottom>
      <diagonal/>
    </border>
    <border>
      <left style="medium">
        <color indexed="64"/>
      </left>
      <right style="medium">
        <color indexed="64"/>
      </right>
      <top style="double">
        <color theme="4" tint="-0.499984740745262"/>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top/>
      <bottom style="dashed">
        <color indexed="64"/>
      </bottom>
      <diagonal/>
    </border>
    <border>
      <left style="medium">
        <color indexed="64"/>
      </left>
      <right style="medium">
        <color indexed="64"/>
      </right>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top style="dashed">
        <color indexed="64"/>
      </top>
      <bottom/>
      <diagonal/>
    </border>
    <border>
      <left style="medium">
        <color indexed="64"/>
      </left>
      <right style="medium">
        <color indexed="64"/>
      </right>
      <top style="dashed">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48" fillId="0" borderId="0" applyNumberFormat="0" applyFill="0" applyBorder="0" applyAlignment="0" applyProtection="0"/>
  </cellStyleXfs>
  <cellXfs count="407">
    <xf numFmtId="0" fontId="0" fillId="0" borderId="0" xfId="0"/>
    <xf numFmtId="0" fontId="0" fillId="0" borderId="0" xfId="0" applyAlignment="1">
      <alignment horizontal="center"/>
    </xf>
    <xf numFmtId="0" fontId="2" fillId="0" borderId="0" xfId="0" applyFont="1"/>
    <xf numFmtId="0" fontId="0" fillId="0" borderId="0" xfId="0" applyAlignment="1">
      <alignment horizontal="center" wrapText="1"/>
    </xf>
    <xf numFmtId="0" fontId="3"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wrapText="1"/>
    </xf>
    <xf numFmtId="9" fontId="4" fillId="0" borderId="0" xfId="1" applyFont="1" applyAlignment="1">
      <alignment vertical="center" wrapText="1"/>
    </xf>
    <xf numFmtId="0" fontId="9" fillId="3" borderId="1" xfId="0" applyFont="1" applyFill="1" applyBorder="1" applyAlignment="1">
      <alignment horizontal="center" vertical="center" wrapText="1"/>
    </xf>
    <xf numFmtId="0" fontId="0" fillId="0" borderId="0" xfId="0" applyAlignment="1">
      <alignment horizontal="left"/>
    </xf>
    <xf numFmtId="0" fontId="0" fillId="0" borderId="0" xfId="0" pivotButton="1" applyAlignment="1">
      <alignment horizontal="center" vertical="center" wrapText="1"/>
    </xf>
    <xf numFmtId="0" fontId="13" fillId="0" borderId="0" xfId="0" applyFont="1" applyAlignment="1">
      <alignment horizontal="center"/>
    </xf>
    <xf numFmtId="9" fontId="0" fillId="0" borderId="0" xfId="1" applyFont="1" applyAlignment="1">
      <alignment horizontal="center" wrapText="1"/>
    </xf>
    <xf numFmtId="0" fontId="6" fillId="0" borderId="0" xfId="0" applyFont="1" applyAlignment="1">
      <alignment horizontal="center" vertical="center" wrapText="1"/>
    </xf>
    <xf numFmtId="9" fontId="17" fillId="2" borderId="3" xfId="1" applyFont="1" applyFill="1" applyBorder="1" applyAlignment="1" applyProtection="1">
      <alignment horizontal="center" vertical="center" wrapText="1"/>
      <protection locked="0"/>
    </xf>
    <xf numFmtId="0" fontId="18" fillId="4" borderId="2" xfId="0" applyFont="1" applyFill="1" applyBorder="1" applyAlignment="1">
      <alignment horizontal="center" vertical="center" wrapText="1"/>
    </xf>
    <xf numFmtId="9" fontId="18" fillId="4" borderId="2" xfId="1" applyFont="1" applyFill="1" applyBorder="1" applyAlignment="1">
      <alignment horizontal="center" vertical="center" wrapText="1"/>
    </xf>
    <xf numFmtId="0" fontId="17" fillId="2" borderId="3" xfId="0" applyFont="1" applyFill="1" applyBorder="1" applyAlignment="1" applyProtection="1">
      <alignment horizontal="center" vertical="center" wrapText="1"/>
      <protection locked="0"/>
    </xf>
    <xf numFmtId="0" fontId="17" fillId="2" borderId="5" xfId="0" applyFont="1" applyFill="1" applyBorder="1" applyAlignment="1">
      <alignment horizontal="center" vertical="center" wrapText="1"/>
    </xf>
    <xf numFmtId="0" fontId="17" fillId="2" borderId="5"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6" xfId="0" applyFont="1" applyFill="1" applyBorder="1" applyAlignment="1" applyProtection="1">
      <alignment horizontal="center" vertical="center" wrapText="1"/>
      <protection locked="0"/>
    </xf>
    <xf numFmtId="9" fontId="17" fillId="2" borderId="6" xfId="1" applyFont="1" applyFill="1" applyBorder="1" applyAlignment="1" applyProtection="1">
      <alignment horizontal="center" vertical="center" wrapText="1"/>
      <protection locked="0"/>
    </xf>
    <xf numFmtId="9" fontId="17" fillId="2" borderId="6" xfId="0" applyNumberFormat="1" applyFont="1" applyFill="1" applyBorder="1" applyAlignment="1" applyProtection="1">
      <alignment horizontal="center" vertical="center" wrapText="1"/>
      <protection locked="0"/>
    </xf>
    <xf numFmtId="9" fontId="17" fillId="2" borderId="3" xfId="0" applyNumberFormat="1"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4" xfId="0" applyFont="1" applyFill="1" applyBorder="1" applyAlignment="1">
      <alignment horizontal="center" vertical="center" wrapText="1"/>
    </xf>
    <xf numFmtId="9" fontId="17" fillId="2" borderId="4" xfId="1" applyFont="1" applyFill="1" applyBorder="1" applyAlignment="1" applyProtection="1">
      <alignment horizontal="center" vertical="center" wrapText="1"/>
      <protection locked="0"/>
    </xf>
    <xf numFmtId="9" fontId="17" fillId="2" borderId="3" xfId="0" applyNumberFormat="1" applyFont="1" applyFill="1" applyBorder="1" applyAlignment="1">
      <alignment horizontal="center" vertical="center" wrapText="1"/>
    </xf>
    <xf numFmtId="0" fontId="14" fillId="5" borderId="0" xfId="0" applyFont="1" applyFill="1"/>
    <xf numFmtId="0" fontId="4" fillId="0" borderId="0" xfId="0" applyFont="1" applyAlignment="1">
      <alignment horizontal="center" vertical="center" wrapText="1"/>
    </xf>
    <xf numFmtId="0" fontId="0" fillId="0" borderId="0" xfId="0" applyAlignment="1">
      <alignment horizontal="centerContinuous"/>
    </xf>
    <xf numFmtId="0" fontId="10" fillId="0" borderId="0" xfId="0" applyFont="1" applyAlignment="1">
      <alignment horizontal="centerContinuous"/>
    </xf>
    <xf numFmtId="0" fontId="14" fillId="2" borderId="0" xfId="0" applyFont="1" applyFill="1" applyAlignment="1">
      <alignment horizontal="centerContinuous"/>
    </xf>
    <xf numFmtId="0" fontId="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0" fillId="0" borderId="0" xfId="0" applyFont="1" applyAlignment="1">
      <alignment vertical="center" wrapText="1"/>
    </xf>
    <xf numFmtId="0" fontId="0" fillId="0" borderId="0" xfId="0" applyAlignment="1">
      <alignment horizontal="right"/>
    </xf>
    <xf numFmtId="0" fontId="15" fillId="0" borderId="0" xfId="0" applyFont="1" applyAlignment="1">
      <alignment horizontal="centerContinuous" vertical="center"/>
    </xf>
    <xf numFmtId="0" fontId="4" fillId="0" borderId="0" xfId="0" applyFont="1" applyAlignment="1">
      <alignment horizontal="centerContinuous"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1" fillId="2" borderId="0" xfId="0" applyFont="1" applyFill="1" applyAlignment="1">
      <alignment vertical="center" wrapText="1"/>
    </xf>
    <xf numFmtId="0" fontId="21" fillId="0" borderId="0" xfId="0" applyFont="1" applyAlignment="1">
      <alignment horizontal="center" vertical="center"/>
    </xf>
    <xf numFmtId="0" fontId="21"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9" fillId="3" borderId="16" xfId="0" applyFont="1" applyFill="1" applyBorder="1" applyAlignment="1">
      <alignment horizontal="center" vertical="center" wrapText="1"/>
    </xf>
    <xf numFmtId="0" fontId="22" fillId="0" borderId="0" xfId="0" applyFont="1" applyAlignment="1">
      <alignment vertical="center"/>
    </xf>
    <xf numFmtId="9" fontId="4" fillId="0" borderId="0" xfId="1" applyFont="1" applyAlignment="1">
      <alignment horizontal="centerContinuous" vertical="center" wrapText="1"/>
    </xf>
    <xf numFmtId="0" fontId="0" fillId="0" borderId="0" xfId="0" applyAlignment="1">
      <alignment horizontal="centerContinuous" wrapText="1"/>
    </xf>
    <xf numFmtId="9" fontId="0" fillId="0" borderId="0" xfId="1" applyFont="1" applyAlignment="1">
      <alignment horizontal="centerContinuous" wrapText="1"/>
    </xf>
    <xf numFmtId="9" fontId="17" fillId="2" borderId="6"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0" xfId="0" applyFont="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protection locked="0"/>
    </xf>
    <xf numFmtId="0" fontId="0" fillId="0" borderId="1" xfId="0" applyBorder="1" applyAlignment="1">
      <alignment horizontal="center"/>
    </xf>
    <xf numFmtId="0" fontId="0" fillId="0" borderId="1" xfId="0" applyBorder="1" applyAlignment="1">
      <alignment horizontal="center" wrapText="1"/>
    </xf>
    <xf numFmtId="0" fontId="22" fillId="0" borderId="1" xfId="0" applyFont="1" applyBorder="1" applyAlignment="1">
      <alignment horizontal="right" vertical="center"/>
    </xf>
    <xf numFmtId="0" fontId="22" fillId="0" borderId="1" xfId="0" applyFont="1" applyBorder="1" applyAlignment="1">
      <alignment horizontal="center"/>
    </xf>
    <xf numFmtId="0" fontId="22" fillId="0" borderId="1" xfId="0" applyFont="1" applyBorder="1" applyAlignment="1">
      <alignment horizont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29" fillId="0" borderId="1" xfId="0" applyFont="1" applyBorder="1" applyAlignment="1">
      <alignment horizontal="left" vertical="center"/>
    </xf>
    <xf numFmtId="0" fontId="29" fillId="0" borderId="1" xfId="0" applyFont="1" applyBorder="1" applyAlignment="1">
      <alignment horizontal="center"/>
    </xf>
    <xf numFmtId="0" fontId="29" fillId="0" borderId="1" xfId="0" applyFont="1" applyBorder="1"/>
    <xf numFmtId="0" fontId="22" fillId="0" borderId="0" xfId="0" applyFont="1" applyAlignment="1">
      <alignment horizontal="center"/>
    </xf>
    <xf numFmtId="17" fontId="29" fillId="0" borderId="0" xfId="0" applyNumberFormat="1" applyFont="1" applyAlignment="1">
      <alignment vertical="center" wrapText="1"/>
    </xf>
    <xf numFmtId="0" fontId="20" fillId="3" borderId="2" xfId="0" applyFont="1" applyFill="1" applyBorder="1" applyAlignment="1">
      <alignment horizontal="center" vertical="center" wrapText="1"/>
    </xf>
    <xf numFmtId="9" fontId="17" fillId="2" borderId="5" xfId="1"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9" fontId="32" fillId="2" borderId="5" xfId="1" applyFont="1" applyFill="1" applyBorder="1" applyAlignment="1" applyProtection="1">
      <alignment horizontal="center" vertical="center" wrapText="1"/>
      <protection locked="0"/>
    </xf>
    <xf numFmtId="0" fontId="32" fillId="2" borderId="3"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9" fontId="32" fillId="2" borderId="3" xfId="1"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6" xfId="0"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pplyProtection="1">
      <alignment horizontal="center" vertical="center" wrapText="1"/>
      <protection locked="0"/>
    </xf>
    <xf numFmtId="0" fontId="0" fillId="0" borderId="3" xfId="0" applyBorder="1" applyAlignment="1">
      <alignment horizontal="center" vertical="center" wrapText="1"/>
    </xf>
    <xf numFmtId="9" fontId="17" fillId="2" borderId="5" xfId="0" applyNumberFormat="1" applyFont="1" applyFill="1" applyBorder="1" applyAlignment="1">
      <alignment horizontal="center" vertical="center" wrapText="1"/>
    </xf>
    <xf numFmtId="0" fontId="24" fillId="2" borderId="0" xfId="0" applyFont="1" applyFill="1" applyAlignment="1">
      <alignment vertical="center"/>
    </xf>
    <xf numFmtId="0" fontId="17" fillId="0" borderId="1" xfId="0" applyFont="1" applyBorder="1" applyAlignment="1">
      <alignment horizontal="center" vertical="center" wrapText="1"/>
    </xf>
    <xf numFmtId="0" fontId="17" fillId="2" borderId="23" xfId="0" applyFont="1" applyFill="1" applyBorder="1" applyAlignment="1">
      <alignment horizontal="center" vertical="center" wrapText="1"/>
    </xf>
    <xf numFmtId="0" fontId="17" fillId="2" borderId="23" xfId="0" applyFont="1" applyFill="1" applyBorder="1" applyAlignment="1" applyProtection="1">
      <alignment horizontal="center" vertical="center" wrapText="1"/>
      <protection locked="0"/>
    </xf>
    <xf numFmtId="0" fontId="19" fillId="0" borderId="0" xfId="0" applyFont="1" applyAlignment="1">
      <alignment horizontal="centerContinuous" vertical="center" wrapText="1"/>
    </xf>
    <xf numFmtId="9" fontId="17" fillId="2" borderId="23" xfId="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9" fontId="17" fillId="2" borderId="1" xfId="1" applyFont="1" applyFill="1" applyBorder="1" applyAlignment="1" applyProtection="1">
      <alignment horizontal="center" vertical="center" wrapText="1"/>
      <protection locked="0"/>
    </xf>
    <xf numFmtId="0" fontId="7" fillId="0" borderId="1" xfId="0" applyFont="1" applyBorder="1" applyAlignment="1">
      <alignment horizontal="left"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8" fillId="0" borderId="0" xfId="0" applyFont="1" applyAlignment="1">
      <alignment vertical="center" wrapText="1"/>
    </xf>
    <xf numFmtId="0" fontId="17" fillId="2" borderId="2" xfId="0" applyFont="1" applyFill="1" applyBorder="1" applyAlignment="1">
      <alignment horizontal="center" vertical="center" wrapText="1"/>
    </xf>
    <xf numFmtId="9" fontId="17" fillId="2" borderId="2" xfId="1" applyFont="1" applyFill="1" applyBorder="1" applyAlignment="1" applyProtection="1">
      <alignment horizontal="center" vertical="center" wrapText="1"/>
      <protection locked="0"/>
    </xf>
    <xf numFmtId="0" fontId="0" fillId="0" borderId="1" xfId="0" applyBorder="1"/>
    <xf numFmtId="0" fontId="17" fillId="2" borderId="2" xfId="0" applyFont="1" applyFill="1" applyBorder="1" applyAlignment="1" applyProtection="1">
      <alignment horizontal="center" vertical="center" wrapText="1"/>
      <protection locked="0"/>
    </xf>
    <xf numFmtId="9" fontId="17" fillId="2" borderId="2"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xf>
    <xf numFmtId="0" fontId="0" fillId="0" borderId="4" xfId="0" applyBorder="1" applyAlignment="1">
      <alignment horizontal="center" vertical="center"/>
    </xf>
    <xf numFmtId="9" fontId="17" fillId="2" borderId="4" xfId="0" applyNumberFormat="1" applyFont="1" applyFill="1" applyBorder="1" applyAlignment="1" applyProtection="1">
      <alignment horizontal="center" vertical="center" wrapText="1"/>
      <protection locked="0"/>
    </xf>
    <xf numFmtId="9" fontId="17" fillId="2" borderId="4" xfId="0" applyNumberFormat="1"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35" fillId="0" borderId="0" xfId="0" applyFont="1" applyAlignment="1">
      <alignment vertical="center" wrapText="1"/>
    </xf>
    <xf numFmtId="9" fontId="0" fillId="0" borderId="1" xfId="0" applyNumberFormat="1" applyBorder="1" applyAlignment="1">
      <alignment horizontal="center"/>
    </xf>
    <xf numFmtId="0" fontId="3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5" borderId="28" xfId="0" applyFont="1" applyFill="1" applyBorder="1" applyAlignment="1">
      <alignment horizontal="left" vertical="center" wrapText="1"/>
    </xf>
    <xf numFmtId="0" fontId="18" fillId="5" borderId="24" xfId="0" applyFont="1" applyFill="1" applyBorder="1" applyAlignment="1">
      <alignment horizontal="left" vertical="center" wrapText="1"/>
    </xf>
    <xf numFmtId="0" fontId="18" fillId="5" borderId="29" xfId="0" applyFont="1" applyFill="1" applyBorder="1" applyAlignment="1">
      <alignment horizontal="left" vertical="center" wrapText="1"/>
    </xf>
    <xf numFmtId="0" fontId="18" fillId="5" borderId="30" xfId="0" applyFont="1" applyFill="1" applyBorder="1" applyAlignment="1">
      <alignment horizontal="center" vertical="center" wrapText="1"/>
    </xf>
    <xf numFmtId="0" fontId="26" fillId="8" borderId="43"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3" fillId="8" borderId="13" xfId="0" applyFont="1" applyFill="1" applyBorder="1" applyAlignment="1">
      <alignment horizontal="centerContinuous" vertical="center"/>
    </xf>
    <xf numFmtId="0" fontId="23" fillId="8" borderId="14" xfId="0" applyFont="1" applyFill="1" applyBorder="1" applyAlignment="1">
      <alignment horizontal="centerContinuous" vertical="center"/>
    </xf>
    <xf numFmtId="0" fontId="23" fillId="8" borderId="15" xfId="0" applyFont="1" applyFill="1" applyBorder="1" applyAlignment="1">
      <alignment horizontal="centerContinuous" vertical="center"/>
    </xf>
    <xf numFmtId="0" fontId="27" fillId="8" borderId="13" xfId="0" applyFont="1" applyFill="1" applyBorder="1" applyAlignment="1">
      <alignment horizontal="centerContinuous" vertical="center"/>
    </xf>
    <xf numFmtId="0" fontId="27" fillId="8" borderId="14" xfId="0" applyFont="1" applyFill="1" applyBorder="1" applyAlignment="1">
      <alignment horizontal="centerContinuous" vertical="center"/>
    </xf>
    <xf numFmtId="0" fontId="27" fillId="8" borderId="15" xfId="0" applyFont="1" applyFill="1" applyBorder="1" applyAlignment="1">
      <alignment horizontal="centerContinuous" vertical="center"/>
    </xf>
    <xf numFmtId="0" fontId="38" fillId="0" borderId="0" xfId="0" applyFont="1" applyAlignment="1">
      <alignment vertical="center"/>
    </xf>
    <xf numFmtId="0" fontId="0" fillId="0" borderId="0" xfId="0"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pplyProtection="1">
      <alignment horizontal="left"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center" vertical="center" wrapText="1"/>
      <protection locked="0"/>
    </xf>
    <xf numFmtId="9" fontId="17" fillId="0" borderId="3" xfId="1" applyFont="1" applyFill="1" applyBorder="1" applyAlignment="1">
      <alignment horizontal="center" vertical="center" wrapText="1"/>
    </xf>
    <xf numFmtId="9" fontId="17" fillId="0" borderId="6" xfId="1" applyFont="1" applyFill="1" applyBorder="1" applyAlignment="1">
      <alignment horizontal="center" vertical="center" wrapText="1"/>
    </xf>
    <xf numFmtId="0" fontId="17" fillId="0" borderId="5" xfId="0" applyFont="1" applyBorder="1" applyAlignment="1" applyProtection="1">
      <alignment horizontal="center" vertical="center" wrapText="1"/>
      <protection locked="0"/>
    </xf>
    <xf numFmtId="9" fontId="17" fillId="0" borderId="5" xfId="1"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9" fontId="17" fillId="0" borderId="6" xfId="1" applyFont="1" applyFill="1" applyBorder="1" applyAlignment="1" applyProtection="1">
      <alignment horizontal="center" vertical="center" wrapText="1"/>
      <protection locked="0"/>
    </xf>
    <xf numFmtId="9" fontId="17" fillId="0" borderId="5" xfId="0" applyNumberFormat="1" applyFont="1" applyBorder="1" applyAlignment="1" applyProtection="1">
      <alignment horizontal="center" vertical="center" wrapText="1"/>
      <protection locked="0"/>
    </xf>
    <xf numFmtId="9" fontId="17" fillId="0" borderId="5" xfId="1" applyFont="1" applyFill="1" applyBorder="1" applyAlignment="1" applyProtection="1">
      <alignment horizontal="center" vertical="center" wrapText="1"/>
      <protection locked="0"/>
    </xf>
    <xf numFmtId="9" fontId="17" fillId="0" borderId="6" xfId="0" applyNumberFormat="1" applyFont="1" applyBorder="1" applyAlignment="1" applyProtection="1">
      <alignment horizontal="center" vertical="center" wrapText="1"/>
      <protection locked="0"/>
    </xf>
    <xf numFmtId="9" fontId="17" fillId="0" borderId="3" xfId="0" applyNumberFormat="1" applyFont="1" applyBorder="1" applyAlignment="1" applyProtection="1">
      <alignment horizontal="center" vertical="center" wrapText="1"/>
      <protection locked="0"/>
    </xf>
    <xf numFmtId="9" fontId="17" fillId="0" borderId="3" xfId="1" applyFont="1" applyFill="1" applyBorder="1" applyAlignment="1" applyProtection="1">
      <alignment horizontal="center" vertical="center" wrapText="1"/>
      <protection locked="0"/>
    </xf>
    <xf numFmtId="9" fontId="17" fillId="0" borderId="5"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6"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17" fillId="0" borderId="4" xfId="0" applyFont="1" applyBorder="1" applyAlignment="1">
      <alignment horizontal="center" vertical="center" wrapText="1"/>
    </xf>
    <xf numFmtId="165" fontId="21" fillId="0" borderId="3" xfId="1" applyNumberFormat="1" applyFont="1" applyFill="1" applyBorder="1" applyAlignment="1">
      <alignment horizontal="center" vertical="center" wrapText="1"/>
    </xf>
    <xf numFmtId="165" fontId="21" fillId="0" borderId="3" xfId="1" applyNumberFormat="1" applyFont="1" applyFill="1" applyBorder="1" applyAlignment="1">
      <alignment horizontal="center" vertical="center"/>
    </xf>
    <xf numFmtId="0" fontId="26" fillId="4" borderId="43" xfId="0" applyFont="1" applyFill="1" applyBorder="1" applyAlignment="1">
      <alignment horizontal="center" vertical="center" wrapText="1"/>
    </xf>
    <xf numFmtId="0" fontId="40" fillId="5" borderId="49" xfId="0" applyFont="1" applyFill="1" applyBorder="1" applyAlignment="1">
      <alignment horizontal="left" vertical="center" wrapText="1"/>
    </xf>
    <xf numFmtId="0" fontId="28" fillId="0" borderId="50" xfId="0" applyFont="1" applyBorder="1" applyAlignment="1">
      <alignment horizontal="center"/>
    </xf>
    <xf numFmtId="49" fontId="39" fillId="9" borderId="48" xfId="0" applyNumberFormat="1" applyFont="1" applyFill="1" applyBorder="1" applyAlignment="1">
      <alignment horizontal="center" vertical="center" wrapText="1" readingOrder="1"/>
    </xf>
    <xf numFmtId="0" fontId="40" fillId="5" borderId="51" xfId="0" applyFont="1" applyFill="1" applyBorder="1" applyAlignment="1">
      <alignment horizontal="left" vertical="center" wrapText="1"/>
    </xf>
    <xf numFmtId="0" fontId="0" fillId="0" borderId="52" xfId="0" applyBorder="1" applyAlignment="1">
      <alignment horizontal="center"/>
    </xf>
    <xf numFmtId="0" fontId="40" fillId="5" borderId="53" xfId="0" applyFont="1" applyFill="1" applyBorder="1" applyAlignment="1">
      <alignment horizontal="left" vertical="center" wrapText="1"/>
    </xf>
    <xf numFmtId="0" fontId="0" fillId="0" borderId="54" xfId="0" applyBorder="1" applyAlignment="1">
      <alignment horizontal="center"/>
    </xf>
    <xf numFmtId="0" fontId="18" fillId="5" borderId="55" xfId="0" applyFont="1" applyFill="1" applyBorder="1" applyAlignment="1">
      <alignment horizontal="center" vertical="center" wrapText="1"/>
    </xf>
    <xf numFmtId="0" fontId="37" fillId="5" borderId="56" xfId="0" applyFont="1" applyFill="1" applyBorder="1" applyAlignment="1">
      <alignment horizontal="center"/>
    </xf>
    <xf numFmtId="0" fontId="9" fillId="3" borderId="18" xfId="0" applyFont="1" applyFill="1" applyBorder="1" applyAlignment="1">
      <alignment horizontal="center" vertical="center" wrapText="1"/>
    </xf>
    <xf numFmtId="0" fontId="17" fillId="0" borderId="4"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xf>
    <xf numFmtId="0" fontId="26" fillId="8" borderId="25" xfId="0" applyFont="1" applyFill="1" applyBorder="1" applyAlignment="1">
      <alignment horizontal="center" vertical="center" wrapText="1"/>
    </xf>
    <xf numFmtId="0" fontId="15" fillId="0" borderId="19" xfId="0" applyFont="1" applyBorder="1" applyAlignment="1">
      <alignment horizontal="center" wrapText="1"/>
    </xf>
    <xf numFmtId="0" fontId="15" fillId="0" borderId="32" xfId="0" applyFont="1" applyBorder="1" applyAlignment="1">
      <alignment horizontal="center" wrapText="1"/>
    </xf>
    <xf numFmtId="0" fontId="15" fillId="0" borderId="33" xfId="0" applyFont="1" applyBorder="1" applyAlignment="1">
      <alignment horizontal="center" wrapText="1"/>
    </xf>
    <xf numFmtId="0" fontId="15" fillId="0" borderId="3" xfId="0" applyFont="1" applyBorder="1" applyAlignment="1">
      <alignment horizontal="center" wrapText="1"/>
    </xf>
    <xf numFmtId="0" fontId="15" fillId="0" borderId="34" xfId="0" applyFont="1" applyBorder="1" applyAlignment="1">
      <alignment horizontal="center" wrapText="1"/>
    </xf>
    <xf numFmtId="0" fontId="15" fillId="0" borderId="35" xfId="0" applyFont="1" applyBorder="1" applyAlignment="1">
      <alignment horizontal="center" wrapText="1"/>
    </xf>
    <xf numFmtId="0" fontId="15" fillId="0" borderId="20" xfId="0" applyFont="1" applyBorder="1" applyAlignment="1">
      <alignment horizontal="center" wrapText="1"/>
    </xf>
    <xf numFmtId="0" fontId="0" fillId="6" borderId="21" xfId="0" applyFill="1" applyBorder="1" applyAlignment="1">
      <alignment horizontal="center" vertical="center"/>
    </xf>
    <xf numFmtId="0" fontId="0" fillId="6" borderId="1" xfId="0" applyFill="1" applyBorder="1" applyAlignment="1">
      <alignment horizontal="center" vertical="center"/>
    </xf>
    <xf numFmtId="0" fontId="8" fillId="10" borderId="0" xfId="0" applyFont="1" applyFill="1" applyAlignment="1">
      <alignment vertical="center"/>
    </xf>
    <xf numFmtId="0" fontId="0" fillId="10" borderId="0" xfId="0" applyFill="1"/>
    <xf numFmtId="165" fontId="16" fillId="0" borderId="3" xfId="1" applyNumberFormat="1" applyFont="1" applyFill="1" applyBorder="1" applyAlignment="1">
      <alignment horizontal="left" vertical="center" wrapText="1"/>
    </xf>
    <xf numFmtId="165" fontId="21" fillId="0" borderId="6" xfId="1" applyNumberFormat="1" applyFont="1" applyFill="1" applyBorder="1" applyAlignment="1">
      <alignment horizontal="center" vertical="center" wrapText="1"/>
    </xf>
    <xf numFmtId="165" fontId="21" fillId="0" borderId="6" xfId="1" applyNumberFormat="1" applyFont="1" applyFill="1" applyBorder="1" applyAlignment="1">
      <alignment horizontal="center" vertical="center"/>
    </xf>
    <xf numFmtId="0" fontId="41" fillId="0" borderId="6"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4" fillId="0" borderId="0" xfId="0" applyFont="1" applyAlignment="1">
      <alignment horizontal="center"/>
    </xf>
    <xf numFmtId="0" fontId="16" fillId="0" borderId="5" xfId="0" applyFont="1" applyBorder="1" applyAlignment="1">
      <alignment horizontal="center" vertical="center" wrapText="1"/>
    </xf>
    <xf numFmtId="165" fontId="21" fillId="0" borderId="5" xfId="1" applyNumberFormat="1"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165" fontId="21" fillId="0" borderId="5" xfId="1" applyNumberFormat="1" applyFont="1" applyFill="1" applyBorder="1" applyAlignment="1">
      <alignment horizontal="center" vertical="center"/>
    </xf>
    <xf numFmtId="165" fontId="21" fillId="0" borderId="3" xfId="1" applyNumberFormat="1" applyFont="1" applyFill="1" applyBorder="1" applyAlignment="1">
      <alignment horizontal="left" vertical="center" wrapText="1"/>
    </xf>
    <xf numFmtId="165" fontId="21" fillId="0" borderId="1" xfId="1" applyNumberFormat="1" applyFont="1" applyFill="1" applyBorder="1" applyAlignment="1">
      <alignment horizontal="left" vertical="center" wrapText="1"/>
    </xf>
    <xf numFmtId="9" fontId="17" fillId="0" borderId="1" xfId="1" applyFont="1" applyFill="1" applyBorder="1" applyAlignment="1" applyProtection="1">
      <alignment horizontal="center" vertical="center" wrapText="1"/>
      <protection locked="0"/>
    </xf>
    <xf numFmtId="0" fontId="0" fillId="0" borderId="17" xfId="0" applyBorder="1" applyAlignment="1">
      <alignment horizontal="center" vertical="center" wrapText="1"/>
    </xf>
    <xf numFmtId="9" fontId="25" fillId="0" borderId="3" xfId="0" applyNumberFormat="1" applyFont="1" applyBorder="1" applyAlignment="1">
      <alignment horizontal="center" vertical="center" wrapText="1"/>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64" fontId="34" fillId="0" borderId="5" xfId="0" applyNumberFormat="1"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5" fillId="0" borderId="0" xfId="0" applyFont="1" applyAlignment="1">
      <alignment horizontal="center" vertical="center" wrapText="1"/>
    </xf>
    <xf numFmtId="0" fontId="38" fillId="0" borderId="0" xfId="0" applyFont="1" applyAlignment="1">
      <alignment horizontal="center" vertical="center"/>
    </xf>
    <xf numFmtId="165" fontId="16" fillId="0" borderId="3" xfId="1" applyNumberFormat="1" applyFont="1" applyFill="1" applyBorder="1" applyAlignment="1">
      <alignment horizontal="center" vertical="center" wrapText="1"/>
    </xf>
    <xf numFmtId="0" fontId="17" fillId="0" borderId="8" xfId="0" applyFont="1" applyBorder="1" applyAlignment="1">
      <alignment horizontal="center" vertical="center" wrapText="1"/>
    </xf>
    <xf numFmtId="165" fontId="21" fillId="0" borderId="6" xfId="1" applyNumberFormat="1" applyFont="1" applyFill="1" applyBorder="1" applyAlignment="1">
      <alignment horizontal="left" vertical="center" wrapText="1"/>
    </xf>
    <xf numFmtId="165" fontId="16" fillId="0" borderId="6" xfId="1" applyNumberFormat="1" applyFont="1" applyFill="1" applyBorder="1" applyAlignment="1">
      <alignment horizontal="center" vertical="center" wrapText="1"/>
    </xf>
    <xf numFmtId="165" fontId="16" fillId="0" borderId="5" xfId="1" applyNumberFormat="1" applyFont="1" applyFill="1" applyBorder="1" applyAlignment="1">
      <alignment horizontal="center" vertical="center" wrapText="1"/>
    </xf>
    <xf numFmtId="0" fontId="44" fillId="0" borderId="0" xfId="0" applyFont="1" applyAlignment="1">
      <alignment horizontal="center" vertical="center" wrapText="1"/>
    </xf>
    <xf numFmtId="0" fontId="29" fillId="0" borderId="0" xfId="0" applyFont="1" applyAlignment="1">
      <alignment horizontal="center" vertical="center" wrapText="1"/>
    </xf>
    <xf numFmtId="165" fontId="16" fillId="0" borderId="3" xfId="1" applyNumberFormat="1" applyFont="1" applyFill="1" applyBorder="1" applyAlignment="1">
      <alignment horizontal="center" vertical="center"/>
    </xf>
    <xf numFmtId="0" fontId="41" fillId="0" borderId="3" xfId="0" applyFont="1" applyBorder="1" applyAlignment="1">
      <alignment horizontal="center" vertical="center" wrapText="1"/>
    </xf>
    <xf numFmtId="0" fontId="41" fillId="0" borderId="3" xfId="0" applyFont="1" applyBorder="1" applyAlignment="1" applyProtection="1">
      <alignment horizontal="center" vertical="center" wrapText="1"/>
      <protection locked="0"/>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2" fillId="0" borderId="34" xfId="0" applyFont="1" applyBorder="1" applyAlignment="1">
      <alignment horizontal="center"/>
    </xf>
    <xf numFmtId="9" fontId="17" fillId="0" borderId="8" xfId="1" applyFont="1" applyFill="1" applyBorder="1" applyAlignment="1" applyProtection="1">
      <alignment horizontal="center" vertical="center" wrapText="1"/>
      <protection locked="0"/>
    </xf>
    <xf numFmtId="0" fontId="22" fillId="0" borderId="39" xfId="0" applyFont="1" applyBorder="1" applyAlignment="1">
      <alignment horizontal="center" vertical="center" wrapText="1"/>
    </xf>
    <xf numFmtId="0" fontId="43" fillId="0" borderId="31" xfId="0" applyFont="1" applyBorder="1" applyAlignment="1">
      <alignment horizontal="center" vertical="center"/>
    </xf>
    <xf numFmtId="0" fontId="43" fillId="0" borderId="9" xfId="0" applyFont="1" applyBorder="1" applyAlignment="1">
      <alignment horizontal="center" vertical="center"/>
    </xf>
    <xf numFmtId="0" fontId="16" fillId="0" borderId="6" xfId="0" applyFont="1" applyBorder="1" applyAlignment="1">
      <alignment horizontal="center" vertical="center" wrapText="1"/>
    </xf>
    <xf numFmtId="165" fontId="16" fillId="0" borderId="5" xfId="1" applyNumberFormat="1" applyFont="1" applyFill="1" applyBorder="1" applyAlignment="1">
      <alignment horizontal="center" vertical="center"/>
    </xf>
    <xf numFmtId="165" fontId="16" fillId="0" borderId="6" xfId="1" applyNumberFormat="1" applyFont="1" applyFill="1" applyBorder="1" applyAlignment="1">
      <alignment horizontal="center" vertical="center"/>
    </xf>
    <xf numFmtId="165" fontId="16" fillId="0" borderId="4" xfId="1" applyNumberFormat="1" applyFont="1" applyFill="1" applyBorder="1" applyAlignment="1">
      <alignment horizontal="center" vertical="center"/>
    </xf>
    <xf numFmtId="165" fontId="21" fillId="0" borderId="8" xfId="1" applyNumberFormat="1" applyFont="1" applyFill="1" applyBorder="1" applyAlignment="1">
      <alignment horizontal="center" vertical="center"/>
    </xf>
    <xf numFmtId="0" fontId="17" fillId="0" borderId="2" xfId="0" applyFont="1" applyBorder="1" applyAlignment="1">
      <alignment horizontal="center" vertical="center" wrapText="1"/>
    </xf>
    <xf numFmtId="165" fontId="16" fillId="0" borderId="2" xfId="1" applyNumberFormat="1" applyFont="1" applyFill="1" applyBorder="1" applyAlignment="1">
      <alignment horizontal="center" vertical="center" wrapText="1"/>
    </xf>
    <xf numFmtId="165" fontId="21" fillId="0" borderId="2" xfId="1" applyNumberFormat="1" applyFont="1" applyFill="1" applyBorder="1" applyAlignment="1">
      <alignment horizontal="center" vertical="center"/>
    </xf>
    <xf numFmtId="9" fontId="17" fillId="0" borderId="2" xfId="1" applyFont="1" applyFill="1" applyBorder="1" applyAlignment="1" applyProtection="1">
      <alignment horizontal="center" vertical="center" wrapText="1"/>
      <protection locked="0"/>
    </xf>
    <xf numFmtId="165" fontId="21" fillId="0" borderId="5" xfId="1" applyNumberFormat="1" applyFont="1" applyFill="1" applyBorder="1" applyAlignment="1">
      <alignment horizontal="left" vertical="center" wrapText="1"/>
    </xf>
    <xf numFmtId="0" fontId="17" fillId="0" borderId="2" xfId="0" applyFont="1" applyBorder="1" applyAlignment="1" applyProtection="1">
      <alignment horizontal="center" vertical="center" wrapText="1"/>
      <protection locked="0"/>
    </xf>
    <xf numFmtId="0" fontId="15" fillId="0" borderId="44" xfId="0" applyFont="1" applyBorder="1" applyAlignment="1">
      <alignment horizontal="center" vertical="center"/>
    </xf>
    <xf numFmtId="0" fontId="15" fillId="0" borderId="40" xfId="0" applyFont="1" applyBorder="1" applyAlignment="1">
      <alignment horizontal="center" wrapText="1"/>
    </xf>
    <xf numFmtId="0" fontId="15" fillId="0" borderId="45" xfId="0" applyFont="1" applyBorder="1" applyAlignment="1">
      <alignment horizontal="center" vertical="center"/>
    </xf>
    <xf numFmtId="0" fontId="15" fillId="0" borderId="41" xfId="0" applyFont="1" applyBorder="1" applyAlignment="1">
      <alignment horizontal="center" wrapText="1"/>
    </xf>
    <xf numFmtId="0" fontId="15"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9" fontId="41" fillId="0" borderId="6" xfId="1" applyFont="1" applyFill="1" applyBorder="1" applyAlignment="1" applyProtection="1">
      <alignment horizontal="center" vertical="center" wrapText="1"/>
      <protection locked="0"/>
    </xf>
    <xf numFmtId="165" fontId="16" fillId="0" borderId="6" xfId="1" applyNumberFormat="1" applyFont="1" applyFill="1" applyBorder="1" applyAlignment="1">
      <alignment horizontal="left" vertical="center" wrapText="1"/>
    </xf>
    <xf numFmtId="0" fontId="18" fillId="0" borderId="0" xfId="0" applyFont="1" applyAlignment="1">
      <alignment horizontal="justify" vertical="top" wrapText="1"/>
    </xf>
    <xf numFmtId="0" fontId="16" fillId="0" borderId="0" xfId="0" applyFont="1" applyAlignment="1">
      <alignment horizontal="justify" vertical="top" wrapText="1"/>
    </xf>
    <xf numFmtId="0" fontId="17" fillId="0" borderId="5"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6" xfId="0" applyFont="1" applyBorder="1" applyAlignment="1">
      <alignment horizontal="justify" vertical="center" wrapText="1"/>
    </xf>
    <xf numFmtId="165" fontId="16" fillId="0" borderId="5" xfId="1" applyNumberFormat="1" applyFont="1" applyFill="1" applyBorder="1" applyAlignment="1">
      <alignment horizontal="justify" vertical="center" wrapText="1"/>
    </xf>
    <xf numFmtId="165" fontId="16" fillId="0" borderId="6" xfId="1" applyNumberFormat="1" applyFont="1" applyFill="1" applyBorder="1" applyAlignment="1">
      <alignment horizontal="justify" vertical="center" wrapText="1"/>
    </xf>
    <xf numFmtId="165" fontId="16" fillId="0" borderId="3" xfId="1" applyNumberFormat="1" applyFont="1" applyFill="1" applyBorder="1" applyAlignment="1">
      <alignment horizontal="justify" vertical="center" wrapText="1"/>
    </xf>
    <xf numFmtId="165" fontId="16" fillId="0" borderId="8" xfId="1" applyNumberFormat="1" applyFont="1" applyFill="1" applyBorder="1" applyAlignment="1">
      <alignment horizontal="justify" vertical="center" wrapText="1"/>
    </xf>
    <xf numFmtId="165" fontId="16" fillId="0" borderId="2" xfId="1" applyNumberFormat="1" applyFont="1" applyFill="1" applyBorder="1" applyAlignment="1">
      <alignment horizontal="justify" vertical="center" wrapText="1"/>
    </xf>
    <xf numFmtId="165" fontId="21" fillId="0" borderId="5" xfId="1" applyNumberFormat="1" applyFont="1" applyFill="1" applyBorder="1" applyAlignment="1">
      <alignment horizontal="justify" vertical="center"/>
    </xf>
    <xf numFmtId="165" fontId="21" fillId="0" borderId="3" xfId="1" applyNumberFormat="1" applyFont="1" applyFill="1" applyBorder="1" applyAlignment="1">
      <alignment horizontal="justify" vertical="center" wrapText="1"/>
    </xf>
    <xf numFmtId="0" fontId="17" fillId="0" borderId="3" xfId="0" applyFont="1" applyBorder="1" applyAlignment="1" applyProtection="1">
      <alignment horizontal="justify" vertical="center" wrapText="1"/>
      <protection locked="0"/>
    </xf>
    <xf numFmtId="0" fontId="17" fillId="0" borderId="6" xfId="0" applyFont="1" applyBorder="1" applyAlignment="1" applyProtection="1">
      <alignment horizontal="justify" vertical="center" wrapText="1"/>
      <protection locked="0"/>
    </xf>
    <xf numFmtId="165" fontId="16" fillId="0" borderId="1" xfId="1" applyNumberFormat="1" applyFont="1" applyFill="1" applyBorder="1" applyAlignment="1">
      <alignment horizontal="justify" vertical="center" wrapText="1"/>
    </xf>
    <xf numFmtId="9" fontId="17" fillId="0" borderId="3" xfId="0" applyNumberFormat="1" applyFont="1" applyBorder="1" applyAlignment="1">
      <alignment horizontal="justify" vertical="center" wrapText="1"/>
    </xf>
    <xf numFmtId="0" fontId="0" fillId="0" borderId="0" xfId="0" applyAlignment="1">
      <alignment horizontal="justify"/>
    </xf>
    <xf numFmtId="165" fontId="45" fillId="0" borderId="3" xfId="1" applyNumberFormat="1" applyFont="1" applyFill="1" applyBorder="1" applyAlignment="1">
      <alignment horizontal="center" vertical="center" wrapText="1"/>
    </xf>
    <xf numFmtId="165" fontId="17" fillId="0" borderId="3" xfId="1" applyNumberFormat="1" applyFont="1" applyFill="1" applyBorder="1" applyAlignment="1">
      <alignment horizontal="left" vertical="center" wrapText="1"/>
    </xf>
    <xf numFmtId="9" fontId="0" fillId="0" borderId="3" xfId="0" applyNumberFormat="1" applyBorder="1" applyAlignment="1">
      <alignment vertical="center"/>
    </xf>
    <xf numFmtId="0" fontId="0" fillId="0" borderId="50" xfId="0" applyBorder="1" applyAlignment="1">
      <alignment horizontal="center"/>
    </xf>
    <xf numFmtId="0" fontId="42" fillId="0" borderId="32" xfId="0" applyFont="1" applyBorder="1" applyAlignment="1">
      <alignment horizontal="center"/>
    </xf>
    <xf numFmtId="0" fontId="42" fillId="0" borderId="19" xfId="0" applyFont="1" applyBorder="1" applyAlignment="1">
      <alignment horizontal="center"/>
    </xf>
    <xf numFmtId="0" fontId="42" fillId="0" borderId="3" xfId="0" applyFont="1" applyBorder="1" applyAlignment="1">
      <alignment horizontal="center"/>
    </xf>
    <xf numFmtId="0" fontId="42" fillId="0" borderId="36" xfId="0" applyFont="1" applyBorder="1" applyAlignment="1">
      <alignment horizontal="center"/>
    </xf>
    <xf numFmtId="0" fontId="42" fillId="0" borderId="20" xfId="0" applyFont="1" applyBorder="1" applyAlignment="1">
      <alignment horizontal="center"/>
    </xf>
    <xf numFmtId="9" fontId="0" fillId="0" borderId="0" xfId="1" applyFont="1" applyFill="1"/>
    <xf numFmtId="165" fontId="16" fillId="0" borderId="3" xfId="1" applyNumberFormat="1" applyFont="1" applyFill="1" applyBorder="1" applyAlignment="1">
      <alignment horizontal="justify" vertical="justify" wrapText="1"/>
    </xf>
    <xf numFmtId="0" fontId="17" fillId="0" borderId="5" xfId="0" applyFont="1" applyBorder="1" applyAlignment="1">
      <alignment horizontal="justify"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pplyProtection="1">
      <alignment horizontal="center" vertical="center" wrapText="1"/>
      <protection locked="0"/>
    </xf>
    <xf numFmtId="0" fontId="0" fillId="0" borderId="2" xfId="0" applyBorder="1" applyAlignment="1">
      <alignment horizontal="center" wrapText="1"/>
    </xf>
    <xf numFmtId="0" fontId="0" fillId="0" borderId="2" xfId="0" applyBorder="1" applyAlignment="1">
      <alignment horizontal="center"/>
    </xf>
    <xf numFmtId="0" fontId="7" fillId="0" borderId="57" xfId="0" applyFont="1" applyBorder="1" applyAlignment="1">
      <alignment horizontal="center" vertical="center"/>
    </xf>
    <xf numFmtId="0" fontId="7" fillId="0" borderId="57" xfId="0" applyFont="1" applyBorder="1" applyAlignment="1">
      <alignment horizontal="center" wrapText="1"/>
    </xf>
    <xf numFmtId="0" fontId="7" fillId="0" borderId="57" xfId="0" applyFont="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59" xfId="0" applyBorder="1" applyAlignment="1">
      <alignment horizontal="center" vertical="center"/>
    </xf>
    <xf numFmtId="0" fontId="0" fillId="0" borderId="60" xfId="0" applyBorder="1" applyAlignment="1">
      <alignment horizontal="center"/>
    </xf>
    <xf numFmtId="0" fontId="0" fillId="0" borderId="2" xfId="0" applyBorder="1" applyAlignment="1">
      <alignment horizontal="center" vertical="center"/>
    </xf>
    <xf numFmtId="165" fontId="21" fillId="0" borderId="23" xfId="1" applyNumberFormat="1" applyFont="1" applyFill="1" applyBorder="1" applyAlignment="1">
      <alignment horizontal="center" vertical="center"/>
    </xf>
    <xf numFmtId="0" fontId="17" fillId="12" borderId="6"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3" xfId="0" applyFont="1" applyFill="1" applyBorder="1" applyAlignment="1" applyProtection="1">
      <alignment horizontal="center" vertical="center" wrapText="1"/>
      <protection locked="0"/>
    </xf>
    <xf numFmtId="0" fontId="17" fillId="12" borderId="6" xfId="0" applyFont="1" applyFill="1" applyBorder="1" applyAlignment="1" applyProtection="1">
      <alignment horizontal="center" vertical="center" wrapText="1"/>
      <protection locked="0"/>
    </xf>
    <xf numFmtId="0" fontId="41" fillId="11" borderId="5" xfId="0" applyFont="1" applyFill="1" applyBorder="1" applyAlignment="1">
      <alignment horizontal="center" vertical="center" wrapText="1"/>
    </xf>
    <xf numFmtId="0" fontId="48" fillId="0" borderId="3" xfId="2" applyFill="1" applyBorder="1" applyAlignment="1">
      <alignment horizontal="center" vertical="center" wrapText="1"/>
    </xf>
    <xf numFmtId="0" fontId="17" fillId="0" borderId="23" xfId="0" applyFont="1" applyBorder="1" applyAlignment="1">
      <alignment horizontal="center" vertical="center" wrapText="1"/>
    </xf>
    <xf numFmtId="165" fontId="16" fillId="0" borderId="23" xfId="1" applyNumberFormat="1" applyFont="1" applyFill="1" applyBorder="1" applyAlignment="1">
      <alignment horizontal="center" vertical="center" wrapText="1"/>
    </xf>
    <xf numFmtId="165" fontId="16" fillId="0" borderId="23" xfId="1" applyNumberFormat="1" applyFont="1" applyFill="1" applyBorder="1" applyAlignment="1">
      <alignment horizontal="justify" vertical="center" wrapText="1"/>
    </xf>
    <xf numFmtId="9" fontId="17" fillId="0" borderId="23" xfId="0" applyNumberFormat="1" applyFont="1" applyBorder="1" applyAlignment="1">
      <alignment horizontal="center" vertical="center" wrapText="1"/>
    </xf>
    <xf numFmtId="9" fontId="17" fillId="0" borderId="23" xfId="1" applyFont="1" applyFill="1" applyBorder="1" applyAlignment="1" applyProtection="1">
      <alignment horizontal="center" vertical="center" wrapText="1"/>
      <protection locked="0"/>
    </xf>
    <xf numFmtId="0" fontId="17" fillId="12" borderId="23" xfId="0" applyFont="1" applyFill="1" applyBorder="1" applyAlignment="1">
      <alignment horizontal="center" vertical="center" wrapText="1"/>
    </xf>
    <xf numFmtId="0" fontId="50" fillId="0" borderId="0" xfId="0" applyFont="1" applyAlignment="1">
      <alignment horizontal="center" vertical="center" wrapText="1"/>
    </xf>
    <xf numFmtId="0" fontId="12" fillId="0" borderId="0" xfId="0" applyFont="1" applyAlignment="1">
      <alignment horizontal="center" wrapText="1"/>
    </xf>
    <xf numFmtId="0" fontId="51" fillId="2" borderId="0" xfId="0" applyFont="1" applyFill="1" applyAlignment="1">
      <alignment horizontal="center" vertical="center"/>
    </xf>
    <xf numFmtId="0" fontId="49" fillId="4" borderId="2" xfId="0" applyFont="1" applyFill="1" applyBorder="1" applyAlignment="1">
      <alignment horizontal="center" vertical="center" wrapText="1"/>
    </xf>
    <xf numFmtId="0" fontId="12" fillId="0" borderId="0" xfId="0" applyFont="1"/>
    <xf numFmtId="0" fontId="17" fillId="13" borderId="3" xfId="0" applyFont="1" applyFill="1" applyBorder="1" applyAlignment="1">
      <alignment horizontal="center" vertical="center" wrapText="1"/>
    </xf>
    <xf numFmtId="0" fontId="41" fillId="13" borderId="3"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16" fillId="0" borderId="4" xfId="0" applyFont="1" applyBorder="1" applyAlignment="1">
      <alignment horizontal="center" vertical="center" wrapText="1"/>
    </xf>
    <xf numFmtId="165" fontId="17" fillId="2" borderId="5"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2" xfId="1" applyNumberFormat="1" applyFont="1" applyFill="1" applyBorder="1" applyAlignment="1">
      <alignment horizontal="center" vertical="center" wrapText="1"/>
    </xf>
    <xf numFmtId="9" fontId="17" fillId="2" borderId="23" xfId="0" applyNumberFormat="1" applyFont="1" applyFill="1" applyBorder="1" applyAlignment="1" applyProtection="1">
      <alignment horizontal="center" vertical="center" wrapText="1"/>
      <protection locked="0"/>
    </xf>
    <xf numFmtId="9" fontId="17" fillId="2" borderId="5" xfId="0" applyNumberFormat="1" applyFont="1" applyFill="1" applyBorder="1" applyAlignment="1" applyProtection="1">
      <alignment horizontal="center" vertical="center" wrapText="1"/>
      <protection locked="0"/>
    </xf>
    <xf numFmtId="165" fontId="25" fillId="2" borderId="3" xfId="1" applyNumberFormat="1" applyFont="1" applyFill="1" applyBorder="1" applyAlignment="1">
      <alignment horizontal="center" vertical="center" wrapText="1"/>
    </xf>
    <xf numFmtId="165" fontId="25" fillId="2" borderId="4" xfId="1" applyNumberFormat="1" applyFont="1" applyFill="1" applyBorder="1" applyAlignment="1">
      <alignment horizontal="center" vertical="center" wrapText="1"/>
    </xf>
    <xf numFmtId="165" fontId="25" fillId="2" borderId="6" xfId="1" applyNumberFormat="1" applyFont="1" applyFill="1" applyBorder="1" applyAlignment="1">
      <alignment horizontal="center" vertical="center" wrapText="1"/>
    </xf>
    <xf numFmtId="0" fontId="17" fillId="12" borderId="5" xfId="0" applyFont="1" applyFill="1" applyBorder="1" applyAlignment="1">
      <alignment horizontal="center" vertical="center" wrapText="1"/>
    </xf>
    <xf numFmtId="165" fontId="25" fillId="2" borderId="6" xfId="1" applyNumberFormat="1" applyFont="1" applyFill="1" applyBorder="1" applyAlignment="1">
      <alignment horizontal="center" vertical="center"/>
    </xf>
    <xf numFmtId="0" fontId="31" fillId="0" borderId="0" xfId="0" applyFont="1" applyAlignment="1">
      <alignment horizontal="center" vertical="center"/>
    </xf>
    <xf numFmtId="0" fontId="32" fillId="2" borderId="0" xfId="0" applyFont="1" applyFill="1" applyAlignment="1">
      <alignment horizontal="center" vertical="center" wrapText="1"/>
    </xf>
    <xf numFmtId="0" fontId="17" fillId="2" borderId="0" xfId="0" applyFont="1" applyFill="1" applyAlignment="1">
      <alignment horizontal="center" vertical="center" wrapText="1"/>
    </xf>
    <xf numFmtId="0" fontId="32" fillId="2" borderId="0" xfId="0" applyFont="1" applyFill="1" applyAlignment="1" applyProtection="1">
      <alignment horizontal="center" vertical="center" wrapText="1"/>
      <protection locked="0"/>
    </xf>
    <xf numFmtId="9" fontId="32"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9" fontId="17" fillId="2" borderId="6" xfId="1" applyFont="1" applyFill="1" applyBorder="1" applyAlignment="1">
      <alignment horizontal="center" vertical="center" wrapText="1"/>
    </xf>
    <xf numFmtId="165" fontId="21" fillId="0" borderId="0" xfId="1" applyNumberFormat="1" applyFont="1" applyFill="1" applyBorder="1" applyAlignment="1">
      <alignment horizontal="center" vertical="center"/>
    </xf>
    <xf numFmtId="0" fontId="42" fillId="0" borderId="33" xfId="0" applyFont="1" applyBorder="1" applyAlignment="1">
      <alignment horizontal="center"/>
    </xf>
    <xf numFmtId="0" fontId="42" fillId="0" borderId="35" xfId="0" applyFont="1" applyBorder="1" applyAlignment="1">
      <alignment horizontal="center"/>
    </xf>
    <xf numFmtId="0" fontId="15" fillId="0" borderId="36" xfId="0" applyFont="1" applyBorder="1" applyAlignment="1">
      <alignment horizontal="center" wrapText="1"/>
    </xf>
    <xf numFmtId="0" fontId="15" fillId="0" borderId="37" xfId="0" applyFont="1" applyBorder="1" applyAlignment="1">
      <alignment horizontal="center" wrapText="1"/>
    </xf>
    <xf numFmtId="0" fontId="42" fillId="0" borderId="37" xfId="0" applyFont="1" applyBorder="1" applyAlignment="1">
      <alignment horizontal="center"/>
    </xf>
    <xf numFmtId="0" fontId="22" fillId="0" borderId="38" xfId="0" applyFont="1" applyBorder="1" applyAlignment="1">
      <alignment horizontal="center" vertical="center" wrapText="1"/>
    </xf>
    <xf numFmtId="0" fontId="22" fillId="0" borderId="9" xfId="0" applyFont="1" applyBorder="1" applyAlignment="1">
      <alignment horizontal="center" vertical="center" wrapText="1"/>
    </xf>
    <xf numFmtId="9" fontId="17" fillId="0" borderId="2" xfId="0" applyNumberFormat="1" applyFont="1" applyBorder="1" applyAlignment="1">
      <alignment horizontal="center" vertical="center" wrapText="1"/>
    </xf>
    <xf numFmtId="0" fontId="46" fillId="0" borderId="0" xfId="0" applyFont="1" applyAlignment="1">
      <alignment horizontal="justify" vertical="center"/>
    </xf>
    <xf numFmtId="0" fontId="47" fillId="0" borderId="0" xfId="0" applyFont="1" applyAlignment="1">
      <alignment horizontal="justify" vertical="center"/>
    </xf>
    <xf numFmtId="49" fontId="17" fillId="0" borderId="3" xfId="0" applyNumberFormat="1" applyFont="1" applyBorder="1" applyAlignment="1">
      <alignment horizontal="justify" vertical="center" wrapText="1"/>
    </xf>
    <xf numFmtId="165" fontId="25" fillId="0" borderId="3" xfId="1" applyNumberFormat="1"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165" fontId="25" fillId="0" borderId="3" xfId="1" applyNumberFormat="1" applyFont="1" applyFill="1" applyBorder="1" applyAlignment="1">
      <alignment horizontal="center" vertical="center"/>
    </xf>
    <xf numFmtId="0" fontId="32"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0" fillId="0" borderId="5" xfId="0" applyFont="1" applyBorder="1" applyAlignment="1" applyProtection="1">
      <alignment horizontal="center" vertical="center" wrapText="1"/>
      <protection locked="0"/>
    </xf>
    <xf numFmtId="0" fontId="16" fillId="0" borderId="0" xfId="0" applyFont="1" applyAlignment="1">
      <alignment horizontal="justify" vertical="center"/>
    </xf>
    <xf numFmtId="0" fontId="47" fillId="11" borderId="1" xfId="0" applyFont="1" applyFill="1" applyBorder="1" applyAlignment="1">
      <alignment horizontal="center" vertical="center" wrapText="1"/>
    </xf>
    <xf numFmtId="2" fontId="17" fillId="0" borderId="1" xfId="0" applyNumberFormat="1" applyFont="1" applyBorder="1" applyAlignment="1">
      <alignment horizontal="center" vertical="center" wrapText="1"/>
    </xf>
    <xf numFmtId="9" fontId="13" fillId="0" borderId="1" xfId="1" applyFont="1" applyBorder="1" applyAlignment="1">
      <alignment vertical="center"/>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17" fillId="12" borderId="1" xfId="0" applyFont="1" applyFill="1" applyBorder="1" applyAlignment="1">
      <alignment horizontal="center" vertical="center" wrapText="1"/>
    </xf>
    <xf numFmtId="0" fontId="17" fillId="12" borderId="1" xfId="0" applyFont="1" applyFill="1" applyBorder="1" applyAlignment="1" applyProtection="1">
      <alignment horizontal="center" vertical="center" wrapText="1"/>
      <protection locked="0"/>
    </xf>
    <xf numFmtId="165" fontId="21" fillId="2" borderId="5" xfId="1"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165" fontId="21" fillId="2" borderId="3" xfId="1"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7" fillId="0" borderId="2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justify" vertical="center"/>
    </xf>
    <xf numFmtId="0" fontId="16" fillId="0" borderId="3" xfId="0" applyFont="1" applyBorder="1"/>
    <xf numFmtId="0" fontId="21" fillId="2" borderId="5" xfId="0" applyFont="1" applyFill="1" applyBorder="1" applyAlignment="1">
      <alignment horizontal="center" vertical="center" wrapText="1"/>
    </xf>
    <xf numFmtId="0" fontId="47" fillId="0" borderId="6" xfId="0" applyFont="1" applyBorder="1" applyAlignment="1">
      <alignment horizontal="justify" wrapText="1"/>
    </xf>
    <xf numFmtId="0" fontId="16" fillId="0" borderId="3" xfId="0" applyFont="1" applyBorder="1" applyAlignment="1">
      <alignment horizontal="justify" vertical="center"/>
    </xf>
    <xf numFmtId="0" fontId="16" fillId="0" borderId="0" xfId="0" applyFont="1" applyAlignment="1">
      <alignment horizontal="center" vertical="center" wrapText="1"/>
    </xf>
    <xf numFmtId="0" fontId="21" fillId="0" borderId="1" xfId="0" applyFont="1" applyBorder="1" applyAlignment="1">
      <alignment horizontal="center" vertical="center" wrapText="1"/>
    </xf>
    <xf numFmtId="0" fontId="47" fillId="0" borderId="0" xfId="0" applyFont="1" applyAlignment="1">
      <alignment horizontal="center" vertical="center" wrapText="1"/>
    </xf>
    <xf numFmtId="9" fontId="17" fillId="2" borderId="5" xfId="1" applyFont="1" applyFill="1" applyBorder="1" applyAlignment="1">
      <alignment horizontal="center" vertical="center" wrapText="1"/>
    </xf>
    <xf numFmtId="9" fontId="17" fillId="0" borderId="3" xfId="1" applyFont="1" applyBorder="1" applyAlignment="1">
      <alignment horizontal="center" vertical="center" wrapText="1"/>
    </xf>
    <xf numFmtId="9" fontId="17" fillId="0" borderId="6" xfId="1" applyFont="1" applyBorder="1" applyAlignment="1">
      <alignment horizontal="center" vertical="center" wrapText="1"/>
    </xf>
    <xf numFmtId="9" fontId="17" fillId="0" borderId="5" xfId="1" applyFont="1" applyBorder="1" applyAlignment="1">
      <alignment horizontal="center" vertical="center" wrapText="1"/>
    </xf>
    <xf numFmtId="9" fontId="17" fillId="0" borderId="4" xfId="1" applyFont="1" applyBorder="1" applyAlignment="1">
      <alignment horizontal="center" vertical="center" wrapText="1"/>
    </xf>
    <xf numFmtId="9" fontId="17" fillId="0" borderId="23" xfId="1" applyFont="1" applyBorder="1" applyAlignment="1">
      <alignment horizontal="center" vertical="center" wrapText="1"/>
    </xf>
    <xf numFmtId="0" fontId="7" fillId="0" borderId="0" xfId="0" applyFont="1"/>
    <xf numFmtId="17" fontId="9" fillId="0" borderId="0" xfId="0" applyNumberFormat="1" applyFont="1"/>
    <xf numFmtId="0" fontId="7" fillId="0" borderId="0" xfId="0" applyFont="1" applyAlignment="1">
      <alignment horizontal="center" vertical="center"/>
    </xf>
    <xf numFmtId="0" fontId="19" fillId="0" borderId="0" xfId="0"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xf>
    <xf numFmtId="0" fontId="0" fillId="0" borderId="22" xfId="0" applyBorder="1" applyAlignment="1">
      <alignment horizontal="center"/>
    </xf>
    <xf numFmtId="0" fontId="8" fillId="5" borderId="22" xfId="0" applyFont="1" applyFill="1" applyBorder="1" applyAlignment="1">
      <alignment horizontal="center"/>
    </xf>
    <xf numFmtId="0" fontId="18" fillId="0" borderId="0" xfId="0" applyFont="1" applyAlignment="1">
      <alignment horizontal="center" vertical="center" wrapText="1"/>
    </xf>
    <xf numFmtId="0" fontId="24" fillId="0" borderId="0" xfId="0" applyFont="1" applyAlignment="1">
      <alignment horizontal="center"/>
    </xf>
    <xf numFmtId="0" fontId="18" fillId="7" borderId="1" xfId="0" applyFont="1" applyFill="1" applyBorder="1" applyAlignment="1">
      <alignment horizontal="center" vertical="center" wrapText="1"/>
    </xf>
    <xf numFmtId="0" fontId="24" fillId="2" borderId="22" xfId="0" applyFont="1" applyFill="1" applyBorder="1" applyAlignment="1">
      <alignment horizontal="center" vertical="top"/>
    </xf>
    <xf numFmtId="0" fontId="27" fillId="8" borderId="25"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7" xfId="0"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center" vertical="center" wrapText="1"/>
    </xf>
    <xf numFmtId="0" fontId="22" fillId="0" borderId="0" xfId="0" applyFont="1" applyAlignment="1">
      <alignment horizontal="center" vertical="center"/>
    </xf>
    <xf numFmtId="17" fontId="7" fillId="0" borderId="0" xfId="0" applyNumberFormat="1" applyFont="1" applyAlignment="1">
      <alignment horizontal="center" vertical="center"/>
    </xf>
    <xf numFmtId="0" fontId="22" fillId="0" borderId="0" xfId="0" applyFont="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17" fontId="9" fillId="0" borderId="61" xfId="0" applyNumberFormat="1" applyFont="1" applyBorder="1" applyAlignment="1">
      <alignment horizontal="center"/>
    </xf>
  </cellXfs>
  <cellStyles count="3">
    <cellStyle name="Hipervínculo" xfId="2" builtinId="8"/>
    <cellStyle name="Normal" xfId="0" builtinId="0"/>
    <cellStyle name="Porcentaje" xfId="1" builtinId="5"/>
  </cellStyles>
  <dxfs count="1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0" formatCode="Genera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Cambria"/>
        <family val="1"/>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vertical="center" textRotation="0" indent="0" justifyLastLine="0" shrinkToFit="0" readingOrder="0"/>
    </dxf>
  </dxfs>
  <tableStyles count="0" defaultTableStyle="TableStyleMedium2" defaultPivotStyle="PivotStyleLight16"/>
  <colors>
    <mruColors>
      <color rgb="FFFFA7C4"/>
      <color rgb="FFF36BDC"/>
      <color rgb="FFFF6699"/>
      <color rgb="FFF06B61"/>
      <color rgb="FFF8CEB2"/>
      <color rgb="FF000099"/>
      <color rgb="FFFF0000"/>
      <color rgb="FF3399FF"/>
      <color rgb="FFFF9900"/>
      <color rgb="FFBB15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5.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4.xml"/><Relationship Id="rId24" Type="http://schemas.openxmlformats.org/officeDocument/2006/relationships/pivotCacheDefinition" Target="pivotCache/pivotCacheDefinition1.xml"/><Relationship Id="rId5" Type="http://schemas.openxmlformats.org/officeDocument/2006/relationships/chartsheet" Target="chartsheets/sheet1.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alcChain" Target="calcChain.xml"/><Relationship Id="rId10" Type="http://schemas.openxmlformats.org/officeDocument/2006/relationships/chartsheet" Target="chartsheets/sheet3.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bg2">
                    <a:lumMod val="10000"/>
                  </a:schemeClr>
                </a:solidFill>
                <a:latin typeface="+mn-lt"/>
                <a:ea typeface="+mn-ea"/>
                <a:cs typeface="+mn-cs"/>
              </a:defRPr>
            </a:pPr>
            <a:r>
              <a:rPr lang="en-US" sz="1800" b="1">
                <a:solidFill>
                  <a:schemeClr val="bg2">
                    <a:lumMod val="10000"/>
                  </a:schemeClr>
                </a:solidFill>
              </a:rPr>
              <a:t>SERVICIOS DE PRIMERA INFANCIA OPERANDO "INAIPI"</a:t>
            </a:r>
          </a:p>
          <a:p>
            <a:pPr>
              <a:defRPr sz="1800" b="1">
                <a:solidFill>
                  <a:schemeClr val="bg2">
                    <a:lumMod val="10000"/>
                  </a:schemeClr>
                </a:solidFill>
              </a:defRPr>
            </a:pPr>
            <a:r>
              <a:rPr lang="es-DO" sz="1800" b="1" i="0" u="none" strike="noStrike" baseline="0">
                <a:effectLst/>
              </a:rPr>
              <a:t>Julio 2024</a:t>
            </a:r>
            <a:endParaRPr lang="en-US" sz="1800" b="1">
              <a:solidFill>
                <a:schemeClr val="bg2">
                  <a:lumMod val="10000"/>
                </a:schemeClr>
              </a:solidFill>
            </a:endParaRPr>
          </a:p>
        </c:rich>
      </c:tx>
      <c:layout>
        <c:manualLayout>
          <c:xMode val="edge"/>
          <c:yMode val="edge"/>
          <c:x val="0.22957504260737532"/>
          <c:y val="5.2582268656460353E-2"/>
        </c:manualLayout>
      </c:layout>
      <c:overlay val="0"/>
      <c:spPr>
        <a:solidFill>
          <a:schemeClr val="bg1">
            <a:lumMod val="85000"/>
          </a:schemeClr>
        </a:solidFill>
        <a:ln>
          <a:noFill/>
        </a:ln>
        <a:effectLst/>
      </c:spPr>
      <c:txPr>
        <a:bodyPr rot="0" spcFirstLastPara="1" vertOverflow="ellipsis" vert="horz" wrap="square" anchor="ctr" anchorCtr="1"/>
        <a:lstStyle/>
        <a:p>
          <a:pPr>
            <a:defRPr sz="1800" b="1" i="0" u="none" strike="noStrike" kern="1200" spc="0" baseline="0">
              <a:solidFill>
                <a:schemeClr val="bg2">
                  <a:lumMod val="10000"/>
                </a:schemeClr>
              </a:solidFill>
              <a:latin typeface="+mn-lt"/>
              <a:ea typeface="+mn-ea"/>
              <a:cs typeface="+mn-cs"/>
            </a:defRPr>
          </a:pPr>
          <a:endParaRPr lang="es-ES"/>
        </a:p>
      </c:txPr>
    </c:title>
    <c:autoTitleDeleted val="0"/>
    <c:view3D>
      <c:rotX val="15"/>
      <c:rotY val="20"/>
      <c:depthPercent val="100"/>
      <c:rAngAx val="1"/>
    </c:view3D>
    <c:floor>
      <c:thickness val="0"/>
      <c:spPr>
        <a:solidFill>
          <a:srgbClr val="FFC000"/>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3988986235335419E-2"/>
          <c:y val="0.16374246401018056"/>
          <c:w val="0.93987409507059294"/>
          <c:h val="0.76315294679074208"/>
        </c:manualLayout>
      </c:layout>
      <c:bar3DChart>
        <c:barDir val="col"/>
        <c:grouping val="clustered"/>
        <c:varyColors val="0"/>
        <c:ser>
          <c:idx val="0"/>
          <c:order val="0"/>
          <c:spPr>
            <a:solidFill>
              <a:srgbClr val="0070C0"/>
            </a:solidFill>
            <a:ln>
              <a:noFill/>
            </a:ln>
            <a:effectLst/>
            <a:sp3d/>
          </c:spPr>
          <c:invertIfNegative val="0"/>
          <c:dPt>
            <c:idx val="0"/>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1-3D7F-4534-A48C-ED61CBB1EE4E}"/>
              </c:ext>
            </c:extLst>
          </c:dPt>
          <c:dPt>
            <c:idx val="1"/>
            <c:invertIfNegative val="0"/>
            <c:bubble3D val="0"/>
            <c:spPr>
              <a:solidFill>
                <a:schemeClr val="accent6">
                  <a:lumMod val="60000"/>
                  <a:lumOff val="40000"/>
                </a:schemeClr>
              </a:solidFill>
              <a:ln>
                <a:noFill/>
              </a:ln>
              <a:effectLst/>
              <a:sp3d/>
            </c:spPr>
            <c:extLst>
              <c:ext xmlns:c16="http://schemas.microsoft.com/office/drawing/2014/chart" uri="{C3380CC4-5D6E-409C-BE32-E72D297353CC}">
                <c16:uniqueId val="{00000002-3D7F-4534-A48C-ED61CBB1EE4E}"/>
              </c:ext>
            </c:extLst>
          </c:dPt>
          <c:dLbls>
            <c:dLbl>
              <c:idx val="0"/>
              <c:layout>
                <c:manualLayout>
                  <c:x val="2.6413750710303305E-2"/>
                  <c:y val="-6.074316738316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F-4534-A48C-ED61CBB1EE4E}"/>
                </c:ext>
              </c:extLst>
            </c:dLbl>
            <c:dLbl>
              <c:idx val="1"/>
              <c:layout>
                <c:manualLayout>
                  <c:x val="5.5733432351095166E-2"/>
                  <c:y val="-5.872579080413308E-2"/>
                </c:manualLayout>
              </c:layout>
              <c:spPr>
                <a:noFill/>
                <a:ln>
                  <a:noFill/>
                </a:ln>
                <a:effectLst>
                  <a:glow rad="101600">
                    <a:schemeClr val="accent3">
                      <a:satMod val="175000"/>
                      <a:alpha val="40000"/>
                    </a:schemeClr>
                  </a:glow>
                </a:effectLst>
              </c:spPr>
              <c:txPr>
                <a:bodyPr rot="0" spcFirstLastPara="1" vertOverflow="ellipsis" vert="horz" wrap="square" lIns="38100" tIns="19050" rIns="38100" bIns="19050" anchor="ctr" anchorCtr="1">
                  <a:noAutofit/>
                </a:bodyPr>
                <a:lstStyle/>
                <a:p>
                  <a:pPr>
                    <a:defRPr sz="2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8.5676164074497727E-2"/>
                      <c:h val="7.9041386541840453E-2"/>
                    </c:manualLayout>
                  </c15:layout>
                </c:ext>
                <c:ext xmlns:c16="http://schemas.microsoft.com/office/drawing/2014/chart" uri="{C3380CC4-5D6E-409C-BE32-E72D297353CC}">
                  <c16:uniqueId val="{00000002-3D7F-4534-A48C-ED61CBB1EE4E}"/>
                </c:ext>
              </c:extLst>
            </c:dLbl>
            <c:spPr>
              <a:noFill/>
              <a:ln>
                <a:noFill/>
              </a:ln>
              <a:effectLst>
                <a:glow rad="101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terrenos '!$O$5:$P$5</c:f>
              <c:strCache>
                <c:ptCount val="2"/>
                <c:pt idx="0">
                  <c:v>CAIPI operando</c:v>
                </c:pt>
                <c:pt idx="1">
                  <c:v>CAFI operando</c:v>
                </c:pt>
              </c:strCache>
            </c:strRef>
          </c:cat>
          <c:val>
            <c:numRef>
              <c:f>'estado terrenos '!$O$38:$P$38</c:f>
              <c:numCache>
                <c:formatCode>General</c:formatCode>
                <c:ptCount val="2"/>
                <c:pt idx="0">
                  <c:v>0</c:v>
                </c:pt>
                <c:pt idx="1">
                  <c:v>0</c:v>
                </c:pt>
              </c:numCache>
            </c:numRef>
          </c:val>
          <c:extLst>
            <c:ext xmlns:c16="http://schemas.microsoft.com/office/drawing/2014/chart" uri="{C3380CC4-5D6E-409C-BE32-E72D297353CC}">
              <c16:uniqueId val="{00000000-3D7F-4534-A48C-ED61CBB1EE4E}"/>
            </c:ext>
          </c:extLst>
        </c:ser>
        <c:dLbls>
          <c:showLegendKey val="0"/>
          <c:showVal val="0"/>
          <c:showCatName val="0"/>
          <c:showSerName val="0"/>
          <c:showPercent val="0"/>
          <c:showBubbleSize val="0"/>
        </c:dLbls>
        <c:gapWidth val="150"/>
        <c:shape val="box"/>
        <c:axId val="969690255"/>
        <c:axId val="969697327"/>
        <c:axId val="0"/>
      </c:bar3DChart>
      <c:catAx>
        <c:axId val="9696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ES"/>
          </a:p>
        </c:txPr>
        <c:crossAx val="969697327"/>
        <c:crosses val="autoZero"/>
        <c:auto val="1"/>
        <c:lblAlgn val="ctr"/>
        <c:lblOffset val="100"/>
        <c:noMultiLvlLbl val="0"/>
      </c:catAx>
      <c:valAx>
        <c:axId val="969697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crossAx val="969690255"/>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800" b="1" i="0" baseline="0">
                <a:effectLst/>
              </a:rPr>
              <a:t>RESUMEN NACIONAL DE ESTADO DE CAIPIS</a:t>
            </a:r>
            <a:endParaRPr lang="es-ES">
              <a:effectLst/>
            </a:endParaRPr>
          </a:p>
          <a:p>
            <a:pPr>
              <a:defRPr/>
            </a:pPr>
            <a:r>
              <a:rPr lang="es-DO" sz="1800" b="1" i="0" baseline="0">
                <a:effectLst/>
              </a:rPr>
              <a:t>NOVIEMBRE  2016</a:t>
            </a:r>
            <a:endParaRPr lang="es-E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solidFill>
          <a:schemeClr val="accent1">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chemeClr val="accent6">
                  <a:lumMod val="60000"/>
                  <a:lumOff val="40000"/>
                </a:schemeClr>
              </a:solidFill>
              <a:ln>
                <a:noFill/>
              </a:ln>
              <a:effectLst/>
              <a:sp3d/>
            </c:spPr>
            <c:extLst>
              <c:ext xmlns:c16="http://schemas.microsoft.com/office/drawing/2014/chart" uri="{C3380CC4-5D6E-409C-BE32-E72D297353CC}">
                <c16:uniqueId val="{00000004-79CC-43C5-9156-457DA2D3FE12}"/>
              </c:ext>
            </c:extLst>
          </c:dPt>
          <c:dPt>
            <c:idx val="1"/>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1-79CC-43C5-9156-457DA2D3FE12}"/>
              </c:ext>
            </c:extLst>
          </c:dPt>
          <c:dPt>
            <c:idx val="2"/>
            <c:invertIfNegative val="0"/>
            <c:bubble3D val="0"/>
            <c:spPr>
              <a:solidFill>
                <a:schemeClr val="accent1">
                  <a:lumMod val="60000"/>
                  <a:lumOff val="40000"/>
                </a:schemeClr>
              </a:solidFill>
              <a:ln>
                <a:noFill/>
              </a:ln>
              <a:effectLst/>
              <a:sp3d/>
            </c:spPr>
            <c:extLst>
              <c:ext xmlns:c16="http://schemas.microsoft.com/office/drawing/2014/chart" uri="{C3380CC4-5D6E-409C-BE32-E72D297353CC}">
                <c16:uniqueId val="{00000002-79CC-43C5-9156-457DA2D3FE12}"/>
              </c:ext>
            </c:extLst>
          </c:dPt>
          <c:dPt>
            <c:idx val="3"/>
            <c:invertIfNegative val="0"/>
            <c:bubble3D val="0"/>
            <c:spPr>
              <a:solidFill>
                <a:srgbClr val="FF0000"/>
              </a:solidFill>
              <a:ln>
                <a:noFill/>
              </a:ln>
              <a:effectLst/>
              <a:sp3d/>
            </c:spPr>
            <c:extLst>
              <c:ext xmlns:c16="http://schemas.microsoft.com/office/drawing/2014/chart" uri="{C3380CC4-5D6E-409C-BE32-E72D297353CC}">
                <c16:uniqueId val="{00000003-79CC-43C5-9156-457DA2D3FE12}"/>
              </c:ext>
            </c:extLst>
          </c:dPt>
          <c:dLbls>
            <c:dLbl>
              <c:idx val="0"/>
              <c:layout>
                <c:manualLayout>
                  <c:x val="4.4167962530729191E-3"/>
                  <c:y val="-2.4273503129991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CC-43C5-9156-457DA2D3FE12}"/>
                </c:ext>
              </c:extLst>
            </c:dLbl>
            <c:dLbl>
              <c:idx val="1"/>
              <c:layout>
                <c:manualLayout>
                  <c:x val="2.0611715847673625E-2"/>
                  <c:y val="-1.4159543492495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CC-43C5-9156-457DA2D3FE12}"/>
                </c:ext>
              </c:extLst>
            </c:dLbl>
            <c:dLbl>
              <c:idx val="2"/>
              <c:layout>
                <c:manualLayout>
                  <c:x val="2.9445308353819462E-3"/>
                  <c:y val="-1.4159543492495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CC-43C5-9156-457DA2D3FE12}"/>
                </c:ext>
              </c:extLst>
            </c:dLbl>
            <c:dLbl>
              <c:idx val="3"/>
              <c:layout>
                <c:manualLayout>
                  <c:x val="2.9445308353819462E-3"/>
                  <c:y val="-2.8319086984990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CC-43C5-9156-457DA2D3FE12}"/>
                </c:ext>
              </c:extLst>
            </c:dLbl>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terrenos '!$B$5:$D$5,'estado terrenos '!$G$5)</c:f>
              <c:strCache>
                <c:ptCount val="4"/>
                <c:pt idx="0">
                  <c:v>CAIPI SORTEADO</c:v>
                </c:pt>
                <c:pt idx="1">
                  <c:v>CAIPI INAUGURADO</c:v>
                </c:pt>
                <c:pt idx="2">
                  <c:v>TOTAL CAIPI INICIADO </c:v>
                </c:pt>
                <c:pt idx="3">
                  <c:v>TOTAL CAIPI SIN INICIAR</c:v>
                </c:pt>
              </c:strCache>
            </c:strRef>
          </c:cat>
          <c:val>
            <c:numRef>
              <c:f>('estado terrenos '!$B$38:$D$38,'estado terrenos '!$G$38)</c:f>
              <c:numCache>
                <c:formatCode>General</c:formatCode>
                <c:ptCount val="4"/>
                <c:pt idx="0">
                  <c:v>251</c:v>
                </c:pt>
                <c:pt idx="1">
                  <c:v>88</c:v>
                </c:pt>
                <c:pt idx="2">
                  <c:v>120</c:v>
                </c:pt>
                <c:pt idx="3">
                  <c:v>43</c:v>
                </c:pt>
              </c:numCache>
            </c:numRef>
          </c:val>
          <c:extLst>
            <c:ext xmlns:c16="http://schemas.microsoft.com/office/drawing/2014/chart" uri="{C3380CC4-5D6E-409C-BE32-E72D297353CC}">
              <c16:uniqueId val="{00000000-79CC-43C5-9156-457DA2D3FE12}"/>
            </c:ext>
          </c:extLst>
        </c:ser>
        <c:dLbls>
          <c:showLegendKey val="0"/>
          <c:showVal val="0"/>
          <c:showCatName val="0"/>
          <c:showSerName val="0"/>
          <c:showPercent val="0"/>
          <c:showBubbleSize val="0"/>
        </c:dLbls>
        <c:gapWidth val="150"/>
        <c:shape val="box"/>
        <c:axId val="-367565072"/>
        <c:axId val="-367577040"/>
        <c:axId val="0"/>
      </c:bar3DChart>
      <c:catAx>
        <c:axId val="-367565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367577040"/>
        <c:crosses val="autoZero"/>
        <c:auto val="1"/>
        <c:lblAlgn val="ctr"/>
        <c:lblOffset val="100"/>
        <c:noMultiLvlLbl val="0"/>
      </c:catAx>
      <c:valAx>
        <c:axId val="-367577040"/>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S"/>
          </a:p>
        </c:txPr>
        <c:crossAx val="-367565072"/>
        <c:crosses val="autoZero"/>
        <c:crossBetween val="between"/>
      </c:valAx>
      <c:spPr>
        <a:noFill/>
        <a:ln>
          <a:noFill/>
        </a:ln>
        <a:effectLst/>
      </c:spPr>
    </c:plotArea>
    <c:plotVisOnly val="1"/>
    <c:dispBlanksAs val="gap"/>
    <c:showDLblsOverMax val="0"/>
  </c:chart>
  <c:spPr>
    <a:solidFill>
      <a:schemeClr val="accent1">
        <a:lumMod val="40000"/>
        <a:lumOff val="60000"/>
      </a:schemeClr>
    </a:solidFill>
    <a:ln w="9525" cap="flat" cmpd="sng" algn="ctr">
      <a:solidFill>
        <a:schemeClr val="tx1">
          <a:lumMod val="15000"/>
          <a:lumOff val="85000"/>
        </a:schemeClr>
      </a:solidFill>
      <a:round/>
    </a:ln>
    <a:effectLst/>
  </c:spPr>
  <c:txPr>
    <a:bodyPr/>
    <a:lstStyle/>
    <a:p>
      <a:pPr>
        <a:defRPr/>
      </a:pPr>
      <a:endParaRPr lang="es-E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a:t>ESTADO</a:t>
            </a:r>
            <a:r>
              <a:rPr lang="es-DO" baseline="0"/>
              <a:t> CENTRO </a:t>
            </a:r>
            <a:r>
              <a:rPr lang="es-DO"/>
              <a:t>CAIPI SANTO DOMINGO</a:t>
            </a:r>
          </a:p>
          <a:p>
            <a:pPr>
              <a:defRPr/>
            </a:pPr>
            <a:r>
              <a:rPr lang="es-DO" sz="1800" b="1" i="0" u="none" strike="noStrike" baseline="0">
                <a:effectLst/>
              </a:rPr>
              <a:t>SEPTIEMBRE 2020</a:t>
            </a:r>
            <a:endParaRPr lang="es-DO" sz="16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490072408740474E-2"/>
          <c:y val="0.12927646387791089"/>
          <c:w val="0.96427085662235912"/>
          <c:h val="0.78500501320943883"/>
        </c:manualLayout>
      </c:layout>
      <c:bar3DChart>
        <c:barDir val="col"/>
        <c:grouping val="clustered"/>
        <c:varyColors val="0"/>
        <c:ser>
          <c:idx val="0"/>
          <c:order val="0"/>
          <c:tx>
            <c:strRef>
              <c:f>'CAIPI Santo Domingo'!$D$96</c:f>
              <c:strCache>
                <c:ptCount val="1"/>
                <c:pt idx="0">
                  <c:v>CAIPI Previstos</c:v>
                </c:pt>
              </c:strCache>
            </c:strRef>
          </c:tx>
          <c:spPr>
            <a:solidFill>
              <a:schemeClr val="accent6">
                <a:lumMod val="60000"/>
                <a:lumOff val="40000"/>
              </a:schemeClr>
            </a:solidFill>
            <a:ln w="9525" cap="flat" cmpd="sng" algn="ctr">
              <a:noFill/>
              <a:round/>
            </a:ln>
            <a:effectLst/>
            <a:sp3d/>
          </c:spPr>
          <c:invertIfNegative val="0"/>
          <c:dLbls>
            <c:dLbl>
              <c:idx val="0"/>
              <c:layout>
                <c:manualLayout>
                  <c:x val="-1.111400629516570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1-4853-906F-4D240F7BFE36}"/>
                </c:ext>
              </c:extLst>
            </c:dLbl>
            <c:dLbl>
              <c:idx val="1"/>
              <c:layout>
                <c:manualLayout>
                  <c:x val="-5.5570031475828457E-3"/>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1-4853-906F-4D240F7BFE36}"/>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1-4853-906F-4D240F7BFE36}"/>
                </c:ext>
              </c:extLst>
            </c:dLbl>
            <c:dLbl>
              <c:idx val="5"/>
              <c:layout>
                <c:manualLayout>
                  <c:x val="0"/>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81-4853-906F-4D240F7BFE3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Domingo'!$D$97:$D$104</c:f>
              <c:numCache>
                <c:formatCode>General</c:formatCode>
                <c:ptCount val="8"/>
                <c:pt idx="0">
                  <c:v>8</c:v>
                </c:pt>
                <c:pt idx="1">
                  <c:v>8</c:v>
                </c:pt>
                <c:pt idx="2">
                  <c:v>32</c:v>
                </c:pt>
                <c:pt idx="3">
                  <c:v>19</c:v>
                </c:pt>
                <c:pt idx="4">
                  <c:v>8</c:v>
                </c:pt>
                <c:pt idx="5">
                  <c:v>1</c:v>
                </c:pt>
                <c:pt idx="6">
                  <c:v>1</c:v>
                </c:pt>
                <c:pt idx="7">
                  <c:v>77</c:v>
                </c:pt>
              </c:numCache>
            </c:numRef>
          </c:val>
          <c:extLst>
            <c:ext xmlns:c16="http://schemas.microsoft.com/office/drawing/2014/chart" uri="{C3380CC4-5D6E-409C-BE32-E72D297353CC}">
              <c16:uniqueId val="{00000004-FD81-4853-906F-4D240F7BFE36}"/>
            </c:ext>
          </c:extLst>
        </c:ser>
        <c:ser>
          <c:idx val="1"/>
          <c:order val="1"/>
          <c:tx>
            <c:strRef>
              <c:f>'CAIPI Santo Domingo'!$E$96</c:f>
              <c:strCache>
                <c:ptCount val="1"/>
                <c:pt idx="0">
                  <c:v>Inaugurado</c:v>
                </c:pt>
              </c:strCache>
            </c:strRef>
          </c:tx>
          <c:spPr>
            <a:solidFill>
              <a:schemeClr val="accent6">
                <a:lumMod val="50000"/>
              </a:schemeClr>
            </a:solidFill>
            <a:ln w="9525" cap="flat" cmpd="sng" algn="ctr">
              <a:noFill/>
              <a:round/>
            </a:ln>
            <a:effectLst/>
            <a:sp3d/>
          </c:spPr>
          <c:invertIfNegative val="0"/>
          <c:dLbls>
            <c:dLbl>
              <c:idx val="0"/>
              <c:layout>
                <c:manualLayout>
                  <c:x val="5.5570031475828457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81-4853-906F-4D240F7BFE36}"/>
                </c:ext>
              </c:extLst>
            </c:dLbl>
            <c:dLbl>
              <c:idx val="1"/>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81-4853-906F-4D240F7BFE36}"/>
                </c:ext>
              </c:extLst>
            </c:dLbl>
            <c:dLbl>
              <c:idx val="2"/>
              <c:layout>
                <c:manualLayout>
                  <c:x val="4.4835606664053067E-4"/>
                  <c:y val="-2.7777746331224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81-4853-906F-4D240F7BFE36}"/>
                </c:ext>
              </c:extLst>
            </c:dLbl>
            <c:dLbl>
              <c:idx val="3"/>
              <c:layout>
                <c:manualLayout>
                  <c:x val="1.1114006295165691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81-4853-906F-4D240F7BFE36}"/>
                </c:ext>
              </c:extLst>
            </c:dLbl>
            <c:dLbl>
              <c:idx val="4"/>
              <c:layout>
                <c:manualLayout>
                  <c:x val="5.557003147582845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81-4853-906F-4D240F7BFE36}"/>
                </c:ext>
              </c:extLst>
            </c:dLbl>
            <c:dLbl>
              <c:idx val="5"/>
              <c:layout>
                <c:manualLayout>
                  <c:x val="0"/>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81-4853-906F-4D240F7BFE36}"/>
                </c:ext>
              </c:extLst>
            </c:dLbl>
            <c:dLbl>
              <c:idx val="7"/>
              <c:layout>
                <c:manualLayout>
                  <c:x val="-6.1304023466729656E-3"/>
                  <c:y val="-4.7924546386621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41-4AB7-AB74-D03F2F1EB44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Domingo'!$E$97:$E$104</c:f>
              <c:numCache>
                <c:formatCode>General</c:formatCode>
                <c:ptCount val="8"/>
                <c:pt idx="0">
                  <c:v>3</c:v>
                </c:pt>
                <c:pt idx="1">
                  <c:v>2</c:v>
                </c:pt>
                <c:pt idx="2">
                  <c:v>12</c:v>
                </c:pt>
                <c:pt idx="3">
                  <c:v>5</c:v>
                </c:pt>
                <c:pt idx="4">
                  <c:v>0</c:v>
                </c:pt>
                <c:pt idx="5">
                  <c:v>0</c:v>
                </c:pt>
                <c:pt idx="6">
                  <c:v>0</c:v>
                </c:pt>
                <c:pt idx="7">
                  <c:v>22</c:v>
                </c:pt>
              </c:numCache>
            </c:numRef>
          </c:val>
          <c:extLst>
            <c:ext xmlns:c16="http://schemas.microsoft.com/office/drawing/2014/chart" uri="{C3380CC4-5D6E-409C-BE32-E72D297353CC}">
              <c16:uniqueId val="{0000000B-FD81-4853-906F-4D240F7BFE36}"/>
            </c:ext>
          </c:extLst>
        </c:ser>
        <c:ser>
          <c:idx val="2"/>
          <c:order val="2"/>
          <c:tx>
            <c:strRef>
              <c:f>'CAIPI Santo Domingo'!$F$96</c:f>
              <c:strCache>
                <c:ptCount val="1"/>
                <c:pt idx="0">
                  <c:v>En construcción</c:v>
                </c:pt>
              </c:strCache>
            </c:strRef>
          </c:tx>
          <c:spPr>
            <a:solidFill>
              <a:schemeClr val="accent1">
                <a:lumMod val="7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dLbl>
              <c:idx val="0"/>
              <c:layout>
                <c:manualLayout>
                  <c:x val="0"/>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81-4853-906F-4D240F7BFE36}"/>
                </c:ext>
              </c:extLst>
            </c:dLbl>
            <c:dLbl>
              <c:idx val="1"/>
              <c:layout>
                <c:manualLayout>
                  <c:x val="-5.0938607072373756E-17"/>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81-4853-906F-4D240F7BFE36}"/>
                </c:ext>
              </c:extLst>
            </c:dLbl>
            <c:dLbl>
              <c:idx val="2"/>
              <c:layout>
                <c:manualLayout>
                  <c:x val="8.3355047213742681E-3"/>
                  <c:y val="-0.129629629629629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81-4853-906F-4D240F7BFE36}"/>
                </c:ext>
              </c:extLst>
            </c:dLbl>
            <c:dLbl>
              <c:idx val="4"/>
              <c:layout>
                <c:manualLayout>
                  <c:x val="0"/>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81-4853-906F-4D240F7BFE36}"/>
                </c:ext>
              </c:extLst>
            </c:dLbl>
            <c:dLbl>
              <c:idx val="5"/>
              <c:layout>
                <c:manualLayout>
                  <c:x val="2.77850157379132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81-4853-906F-4D240F7BFE36}"/>
                </c:ext>
              </c:extLst>
            </c:dLbl>
            <c:dLbl>
              <c:idx val="7"/>
              <c:layout>
                <c:manualLayout>
                  <c:x val="-8.3355047213742681E-3"/>
                  <c:y val="-9.722222222222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Domingo'!$F$97:$F$104</c:f>
              <c:numCache>
                <c:formatCode>General</c:formatCode>
                <c:ptCount val="8"/>
                <c:pt idx="0">
                  <c:v>0</c:v>
                </c:pt>
                <c:pt idx="1">
                  <c:v>0</c:v>
                </c:pt>
                <c:pt idx="2">
                  <c:v>2</c:v>
                </c:pt>
                <c:pt idx="3">
                  <c:v>0</c:v>
                </c:pt>
                <c:pt idx="4">
                  <c:v>0</c:v>
                </c:pt>
                <c:pt idx="5">
                  <c:v>1</c:v>
                </c:pt>
                <c:pt idx="6">
                  <c:v>0</c:v>
                </c:pt>
                <c:pt idx="7">
                  <c:v>3</c:v>
                </c:pt>
              </c:numCache>
            </c:numRef>
          </c:val>
          <c:extLst>
            <c:ext xmlns:c16="http://schemas.microsoft.com/office/drawing/2014/chart" uri="{C3380CC4-5D6E-409C-BE32-E72D297353CC}">
              <c16:uniqueId val="{00000012-FD81-4853-906F-4D240F7BFE36}"/>
            </c:ext>
          </c:extLst>
        </c:ser>
        <c:ser>
          <c:idx val="3"/>
          <c:order val="3"/>
          <c:tx>
            <c:strRef>
              <c:f>'CAIPI Santo Domingo'!$G$96</c:f>
              <c:strCache>
                <c:ptCount val="1"/>
                <c:pt idx="0">
                  <c:v>Detenido </c:v>
                </c:pt>
              </c:strCache>
            </c:strRef>
          </c:tx>
          <c:spPr>
            <a:solidFill>
              <a:schemeClr val="accent4">
                <a:alpha val="85000"/>
              </a:schemeClr>
            </a:solidFill>
            <a:ln w="9525" cap="flat" cmpd="sng" algn="ctr">
              <a:noFill/>
              <a:round/>
            </a:ln>
            <a:effectLst/>
            <a:sp3d/>
          </c:spPr>
          <c:invertIfNegative val="0"/>
          <c:dLbls>
            <c:dLbl>
              <c:idx val="0"/>
              <c:layout>
                <c:manualLayout>
                  <c:x val="2.7785015737913973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D81-4853-906F-4D240F7BFE36}"/>
                </c:ext>
              </c:extLst>
            </c:dLbl>
            <c:dLbl>
              <c:idx val="1"/>
              <c:layout>
                <c:manualLayout>
                  <c:x val="2.7785015737913721E-3"/>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D81-4853-906F-4D240F7BFE36}"/>
                </c:ext>
              </c:extLst>
            </c:dLbl>
            <c:dLbl>
              <c:idx val="2"/>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81-4853-906F-4D240F7BFE36}"/>
                </c:ext>
              </c:extLst>
            </c:dLbl>
            <c:dLbl>
              <c:idx val="3"/>
              <c:layout>
                <c:manualLayout>
                  <c:x val="2.7785015737914229E-3"/>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D81-4853-906F-4D240F7BFE36}"/>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D81-4853-906F-4D240F7BFE36}"/>
                </c:ext>
              </c:extLst>
            </c:dLbl>
            <c:dLbl>
              <c:idx val="5"/>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81-4853-906F-4D240F7BFE36}"/>
                </c:ext>
              </c:extLst>
            </c:dLbl>
            <c:dLbl>
              <c:idx val="7"/>
              <c:layout>
                <c:manualLayout>
                  <c:x val="1.8818404368901225E-3"/>
                  <c:y val="-6.0510777551236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Domingo'!$G$97:$G$104</c:f>
              <c:numCache>
                <c:formatCode>General</c:formatCode>
                <c:ptCount val="8"/>
                <c:pt idx="0">
                  <c:v>5</c:v>
                </c:pt>
                <c:pt idx="1">
                  <c:v>3</c:v>
                </c:pt>
                <c:pt idx="2">
                  <c:v>12</c:v>
                </c:pt>
                <c:pt idx="3">
                  <c:v>12</c:v>
                </c:pt>
                <c:pt idx="4">
                  <c:v>2</c:v>
                </c:pt>
                <c:pt idx="5">
                  <c:v>0</c:v>
                </c:pt>
                <c:pt idx="6">
                  <c:v>0</c:v>
                </c:pt>
                <c:pt idx="7">
                  <c:v>34</c:v>
                </c:pt>
              </c:numCache>
            </c:numRef>
          </c:val>
          <c:extLst>
            <c:ext xmlns:c16="http://schemas.microsoft.com/office/drawing/2014/chart" uri="{C3380CC4-5D6E-409C-BE32-E72D297353CC}">
              <c16:uniqueId val="{0000001A-FD81-4853-906F-4D240F7BFE36}"/>
            </c:ext>
          </c:extLst>
        </c:ser>
        <c:ser>
          <c:idx val="4"/>
          <c:order val="4"/>
          <c:tx>
            <c:strRef>
              <c:f>'CAIPI Santo Domingo'!$H$96</c:f>
              <c:strCache>
                <c:ptCount val="1"/>
                <c:pt idx="0">
                  <c:v>Sin Iniciar</c:v>
                </c:pt>
              </c:strCache>
            </c:strRef>
          </c:tx>
          <c:spPr>
            <a:solidFill>
              <a:srgbClr val="FF0000"/>
            </a:solidFill>
            <a:ln w="9525" cap="flat" cmpd="sng" algn="ctr">
              <a:noFill/>
              <a:round/>
            </a:ln>
            <a:effectLst/>
            <a:sp3d/>
          </c:spPr>
          <c:invertIfNegative val="0"/>
          <c:dLbls>
            <c:dLbl>
              <c:idx val="0"/>
              <c:layout>
                <c:manualLayout>
                  <c:x val="5.557003147582845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81-4853-906F-4D240F7BFE36}"/>
                </c:ext>
              </c:extLst>
            </c:dLbl>
            <c:dLbl>
              <c:idx val="1"/>
              <c:layout>
                <c:manualLayout>
                  <c:x val="5.5570031475828457E-3"/>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81-4853-906F-4D240F7BFE36}"/>
                </c:ext>
              </c:extLst>
            </c:dLbl>
            <c:dLbl>
              <c:idx val="2"/>
              <c:layout>
                <c:manualLayout>
                  <c:x val="-5.0938607072373756E-17"/>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D81-4853-906F-4D240F7BFE36}"/>
                </c:ext>
              </c:extLst>
            </c:dLbl>
            <c:dLbl>
              <c:idx val="3"/>
              <c:layout>
                <c:manualLayout>
                  <c:x val="0"/>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D81-4853-906F-4D240F7BFE36}"/>
                </c:ext>
              </c:extLst>
            </c:dLbl>
            <c:dLbl>
              <c:idx val="4"/>
              <c:layout>
                <c:manualLayout>
                  <c:x val="2.7785015737913209E-3"/>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81-4853-906F-4D240F7BFE36}"/>
                </c:ext>
              </c:extLst>
            </c:dLbl>
            <c:dLbl>
              <c:idx val="7"/>
              <c:layout>
                <c:manualLayout>
                  <c:x val="2.7785015737913209E-3"/>
                  <c:y val="-2.7777777777777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Domingo'!$H$97:$H$104</c:f>
              <c:numCache>
                <c:formatCode>General</c:formatCode>
                <c:ptCount val="8"/>
                <c:pt idx="0">
                  <c:v>0</c:v>
                </c:pt>
                <c:pt idx="1">
                  <c:v>3</c:v>
                </c:pt>
                <c:pt idx="2">
                  <c:v>6</c:v>
                </c:pt>
                <c:pt idx="3">
                  <c:v>2</c:v>
                </c:pt>
                <c:pt idx="4">
                  <c:v>0</c:v>
                </c:pt>
                <c:pt idx="5">
                  <c:v>0</c:v>
                </c:pt>
                <c:pt idx="6">
                  <c:v>1</c:v>
                </c:pt>
                <c:pt idx="7">
                  <c:v>12</c:v>
                </c:pt>
              </c:numCache>
            </c:numRef>
          </c:val>
          <c:extLst>
            <c:ext xmlns:c16="http://schemas.microsoft.com/office/drawing/2014/chart" uri="{C3380CC4-5D6E-409C-BE32-E72D297353CC}">
              <c16:uniqueId val="{00000021-FD81-4853-906F-4D240F7BFE36}"/>
            </c:ext>
          </c:extLst>
        </c:ser>
        <c:dLbls>
          <c:showLegendKey val="0"/>
          <c:showVal val="0"/>
          <c:showCatName val="0"/>
          <c:showSerName val="0"/>
          <c:showPercent val="0"/>
          <c:showBubbleSize val="0"/>
        </c:dLbls>
        <c:gapWidth val="241"/>
        <c:gapDepth val="259"/>
        <c:shape val="box"/>
        <c:axId val="1671797152"/>
        <c:axId val="1671800480"/>
        <c:axId val="0"/>
      </c:bar3DChart>
      <c:catAx>
        <c:axId val="1671797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1" i="0" u="none" strike="noStrike" kern="1200" cap="all" baseline="0">
                <a:solidFill>
                  <a:sysClr val="windowText" lastClr="000000"/>
                </a:solidFill>
                <a:latin typeface="+mn-lt"/>
                <a:ea typeface="+mn-ea"/>
                <a:cs typeface="+mn-cs"/>
              </a:defRPr>
            </a:pPr>
            <a:endParaRPr lang="es-ES"/>
          </a:p>
        </c:txPr>
        <c:crossAx val="1671800480"/>
        <c:crosses val="autoZero"/>
        <c:auto val="1"/>
        <c:lblAlgn val="ctr"/>
        <c:lblOffset val="100"/>
        <c:noMultiLvlLbl val="0"/>
      </c:catAx>
      <c:valAx>
        <c:axId val="167180048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671797152"/>
        <c:crosses val="autoZero"/>
        <c:crossBetween val="between"/>
      </c:valAx>
      <c:spPr>
        <a:noFill/>
        <a:ln>
          <a:solidFill>
            <a:schemeClr val="accent1">
              <a:lumMod val="75000"/>
            </a:schemeClr>
          </a:solidFill>
        </a:ln>
        <a:effectLst/>
      </c:spPr>
    </c:plotArea>
    <c:legend>
      <c:legendPos val="b"/>
      <c:layout>
        <c:manualLayout>
          <c:xMode val="edge"/>
          <c:yMode val="edge"/>
          <c:x val="0.10261016134593082"/>
          <c:y val="0.18432042652553202"/>
          <c:w val="0.71188172115502635"/>
          <c:h val="5.411715965903682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10000"/>
                  </a:schemeClr>
                </a:solidFill>
                <a:latin typeface="+mn-lt"/>
                <a:ea typeface="+mn-ea"/>
                <a:cs typeface="+mn-cs"/>
              </a:defRPr>
            </a:pPr>
            <a:r>
              <a:rPr lang="es-DO" b="1">
                <a:solidFill>
                  <a:schemeClr val="bg2">
                    <a:lumMod val="10000"/>
                  </a:schemeClr>
                </a:solidFill>
              </a:rPr>
              <a:t>ESTADO CENTRO</a:t>
            </a:r>
            <a:r>
              <a:rPr lang="es-DO" b="1" baseline="0">
                <a:solidFill>
                  <a:schemeClr val="bg2">
                    <a:lumMod val="10000"/>
                  </a:schemeClr>
                </a:solidFill>
              </a:rPr>
              <a:t> CAIPI DISTRITO NACIONAL</a:t>
            </a:r>
          </a:p>
          <a:p>
            <a:pPr>
              <a:defRPr b="1">
                <a:solidFill>
                  <a:schemeClr val="bg2">
                    <a:lumMod val="10000"/>
                  </a:schemeClr>
                </a:solidFill>
              </a:defRPr>
            </a:pPr>
            <a:r>
              <a:rPr lang="es-DO" sz="1400" b="1" i="0" u="none" strike="noStrike" baseline="0">
                <a:solidFill>
                  <a:srgbClr val="E7E6E6">
                    <a:lumMod val="10000"/>
                  </a:srgbClr>
                </a:solidFill>
                <a:effectLst/>
              </a:rPr>
              <a:t>Julio 2024</a:t>
            </a:r>
            <a:endParaRPr lang="es-DO" b="1">
              <a:solidFill>
                <a:schemeClr val="bg2">
                  <a:lumMod val="10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10000"/>
                </a:schemeClr>
              </a:solidFill>
              <a:latin typeface="+mn-lt"/>
              <a:ea typeface="+mn-ea"/>
              <a:cs typeface="+mn-cs"/>
            </a:defRPr>
          </a:pPr>
          <a:endParaRPr lang="es-ES"/>
        </a:p>
      </c:txPr>
    </c:title>
    <c:autoTitleDeleted val="0"/>
    <c:view3D>
      <c:rotX val="15"/>
      <c:rotY val="20"/>
      <c:depthPercent val="100"/>
      <c:rAngAx val="1"/>
    </c:view3D>
    <c:floor>
      <c:thickness val="0"/>
      <c:spPr>
        <a:solidFill>
          <a:schemeClr val="accent3">
            <a:lumMod val="40000"/>
            <a:lumOff val="60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'Julio 2024'!$C$43</c:f>
              <c:strCache>
                <c:ptCount val="1"/>
                <c:pt idx="0">
                  <c:v>Circunsp. 1</c:v>
                </c:pt>
              </c:strCache>
            </c:strRef>
          </c:tx>
          <c:spPr>
            <a:solidFill>
              <a:schemeClr val="accent4">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2024'!$D$42:$H$42</c:f>
              <c:strCache>
                <c:ptCount val="5"/>
                <c:pt idx="0">
                  <c:v>CAIPI Previstos</c:v>
                </c:pt>
                <c:pt idx="1">
                  <c:v>Inaugurado</c:v>
                </c:pt>
                <c:pt idx="2">
                  <c:v>En construcción</c:v>
                </c:pt>
                <c:pt idx="3">
                  <c:v>Detenido </c:v>
                </c:pt>
                <c:pt idx="4">
                  <c:v>Sin Iniciar</c:v>
                </c:pt>
              </c:strCache>
            </c:strRef>
          </c:cat>
          <c:val>
            <c:numRef>
              <c:f>'Julio 2024'!$D$43:$H$43</c:f>
              <c:numCache>
                <c:formatCode>General</c:formatCode>
                <c:ptCount val="5"/>
                <c:pt idx="0">
                  <c:v>1</c:v>
                </c:pt>
                <c:pt idx="1">
                  <c:v>0</c:v>
                </c:pt>
                <c:pt idx="2">
                  <c:v>0</c:v>
                </c:pt>
                <c:pt idx="3">
                  <c:v>0</c:v>
                </c:pt>
                <c:pt idx="4">
                  <c:v>1</c:v>
                </c:pt>
              </c:numCache>
            </c:numRef>
          </c:val>
          <c:extLst>
            <c:ext xmlns:c16="http://schemas.microsoft.com/office/drawing/2014/chart" uri="{C3380CC4-5D6E-409C-BE32-E72D297353CC}">
              <c16:uniqueId val="{00000000-8D51-4194-B0B8-05028434FBF8}"/>
            </c:ext>
          </c:extLst>
        </c:ser>
        <c:ser>
          <c:idx val="1"/>
          <c:order val="1"/>
          <c:tx>
            <c:strRef>
              <c:f>'Julio 2024'!$C$44</c:f>
              <c:strCache>
                <c:ptCount val="1"/>
                <c:pt idx="0">
                  <c:v>Circunsp. 2</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2024'!$D$42:$H$42</c:f>
              <c:strCache>
                <c:ptCount val="5"/>
                <c:pt idx="0">
                  <c:v>CAIPI Previstos</c:v>
                </c:pt>
                <c:pt idx="1">
                  <c:v>Inaugurado</c:v>
                </c:pt>
                <c:pt idx="2">
                  <c:v>En construcción</c:v>
                </c:pt>
                <c:pt idx="3">
                  <c:v>Detenido </c:v>
                </c:pt>
                <c:pt idx="4">
                  <c:v>Sin Iniciar</c:v>
                </c:pt>
              </c:strCache>
            </c:strRef>
          </c:cat>
          <c:val>
            <c:numRef>
              <c:f>'Julio 2024'!$D$44:$H$44</c:f>
              <c:numCache>
                <c:formatCode>General</c:formatCode>
                <c:ptCount val="5"/>
                <c:pt idx="0">
                  <c:v>7</c:v>
                </c:pt>
                <c:pt idx="1">
                  <c:v>2</c:v>
                </c:pt>
                <c:pt idx="2">
                  <c:v>0</c:v>
                </c:pt>
                <c:pt idx="3">
                  <c:v>2</c:v>
                </c:pt>
                <c:pt idx="4">
                  <c:v>3</c:v>
                </c:pt>
              </c:numCache>
            </c:numRef>
          </c:val>
          <c:extLst>
            <c:ext xmlns:c16="http://schemas.microsoft.com/office/drawing/2014/chart" uri="{C3380CC4-5D6E-409C-BE32-E72D297353CC}">
              <c16:uniqueId val="{00000001-8D51-4194-B0B8-05028434FBF8}"/>
            </c:ext>
          </c:extLst>
        </c:ser>
        <c:ser>
          <c:idx val="2"/>
          <c:order val="2"/>
          <c:tx>
            <c:strRef>
              <c:f>'Julio 2024'!$C$45</c:f>
              <c:strCache>
                <c:ptCount val="1"/>
                <c:pt idx="0">
                  <c:v>Circunsp. 3</c:v>
                </c:pt>
              </c:strCache>
            </c:strRef>
          </c:tx>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2024'!$D$42:$H$42</c:f>
              <c:strCache>
                <c:ptCount val="5"/>
                <c:pt idx="0">
                  <c:v>CAIPI Previstos</c:v>
                </c:pt>
                <c:pt idx="1">
                  <c:v>Inaugurado</c:v>
                </c:pt>
                <c:pt idx="2">
                  <c:v>En construcción</c:v>
                </c:pt>
                <c:pt idx="3">
                  <c:v>Detenido </c:v>
                </c:pt>
                <c:pt idx="4">
                  <c:v>Sin Iniciar</c:v>
                </c:pt>
              </c:strCache>
            </c:strRef>
          </c:cat>
          <c:val>
            <c:numRef>
              <c:f>'Julio 2024'!$D$45:$H$45</c:f>
              <c:numCache>
                <c:formatCode>General</c:formatCode>
                <c:ptCount val="5"/>
                <c:pt idx="0">
                  <c:v>6</c:v>
                </c:pt>
                <c:pt idx="1">
                  <c:v>1</c:v>
                </c:pt>
                <c:pt idx="2">
                  <c:v>0</c:v>
                </c:pt>
                <c:pt idx="3">
                  <c:v>0</c:v>
                </c:pt>
                <c:pt idx="4">
                  <c:v>5</c:v>
                </c:pt>
              </c:numCache>
            </c:numRef>
          </c:val>
          <c:extLst>
            <c:ext xmlns:c16="http://schemas.microsoft.com/office/drawing/2014/chart" uri="{C3380CC4-5D6E-409C-BE32-E72D297353CC}">
              <c16:uniqueId val="{00000002-8D51-4194-B0B8-05028434FBF8}"/>
            </c:ext>
          </c:extLst>
        </c:ser>
        <c:ser>
          <c:idx val="3"/>
          <c:order val="3"/>
          <c:tx>
            <c:strRef>
              <c:f>'Julio 2024'!$C$46</c:f>
              <c:strCache>
                <c:ptCount val="1"/>
                <c:pt idx="0">
                  <c:v>Cantidad</c:v>
                </c:pt>
              </c:strCache>
            </c:strRef>
          </c:tx>
          <c:spPr>
            <a:solidFill>
              <a:schemeClr val="accent6">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2024'!$D$42:$H$42</c:f>
              <c:strCache>
                <c:ptCount val="5"/>
                <c:pt idx="0">
                  <c:v>CAIPI Previstos</c:v>
                </c:pt>
                <c:pt idx="1">
                  <c:v>Inaugurado</c:v>
                </c:pt>
                <c:pt idx="2">
                  <c:v>En construcción</c:v>
                </c:pt>
                <c:pt idx="3">
                  <c:v>Detenido </c:v>
                </c:pt>
                <c:pt idx="4">
                  <c:v>Sin Iniciar</c:v>
                </c:pt>
              </c:strCache>
            </c:strRef>
          </c:cat>
          <c:val>
            <c:numRef>
              <c:f>'Julio 2024'!$D$46:$H$46</c:f>
              <c:numCache>
                <c:formatCode>General</c:formatCode>
                <c:ptCount val="5"/>
                <c:pt idx="0">
                  <c:v>14</c:v>
                </c:pt>
                <c:pt idx="1">
                  <c:v>3</c:v>
                </c:pt>
                <c:pt idx="2">
                  <c:v>0</c:v>
                </c:pt>
                <c:pt idx="3">
                  <c:v>2</c:v>
                </c:pt>
                <c:pt idx="4">
                  <c:v>9</c:v>
                </c:pt>
              </c:numCache>
            </c:numRef>
          </c:val>
          <c:extLst>
            <c:ext xmlns:c16="http://schemas.microsoft.com/office/drawing/2014/chart" uri="{C3380CC4-5D6E-409C-BE32-E72D297353CC}">
              <c16:uniqueId val="{00000003-8D51-4194-B0B8-05028434FBF8}"/>
            </c:ext>
          </c:extLst>
        </c:ser>
        <c:dLbls>
          <c:showLegendKey val="0"/>
          <c:showVal val="0"/>
          <c:showCatName val="0"/>
          <c:showSerName val="0"/>
          <c:showPercent val="0"/>
          <c:showBubbleSize val="0"/>
        </c:dLbls>
        <c:gapWidth val="150"/>
        <c:shape val="box"/>
        <c:axId val="36974448"/>
        <c:axId val="36979440"/>
        <c:axId val="0"/>
      </c:bar3DChart>
      <c:catAx>
        <c:axId val="36974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79440"/>
        <c:crosses val="autoZero"/>
        <c:auto val="1"/>
        <c:lblAlgn val="ctr"/>
        <c:lblOffset val="100"/>
        <c:noMultiLvlLbl val="0"/>
      </c:catAx>
      <c:valAx>
        <c:axId val="3697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74448"/>
        <c:crosses val="autoZero"/>
        <c:crossBetween val="between"/>
      </c:valAx>
      <c:spPr>
        <a:noFill/>
        <a:ln>
          <a:noFill/>
        </a:ln>
        <a:effectLst/>
      </c:spPr>
    </c:plotArea>
    <c:legend>
      <c:legendPos val="b"/>
      <c:layout>
        <c:manualLayout>
          <c:xMode val="edge"/>
          <c:yMode val="edge"/>
          <c:x val="0.21176820364146445"/>
          <c:y val="0.92789820837612691"/>
          <c:w val="0.57433859087666328"/>
          <c:h val="4.8913385826771655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a:t>Gráfico CAIPI Iniciado</a:t>
            </a:r>
            <a:r>
              <a:rPr lang="es-DO" baseline="0"/>
              <a:t> Verso Sin Iniciar</a:t>
            </a:r>
            <a:endParaRPr lang="es-D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'estado terrenos '!$D$5</c:f>
              <c:strCache>
                <c:ptCount val="1"/>
                <c:pt idx="0">
                  <c:v>TOTAL CAIPI INICIADO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206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'!$D$6:$D$37</c:f>
              <c:numCache>
                <c:formatCode>General</c:formatCode>
                <c:ptCount val="32"/>
                <c:pt idx="0">
                  <c:v>1</c:v>
                </c:pt>
                <c:pt idx="1">
                  <c:v>3</c:v>
                </c:pt>
                <c:pt idx="2">
                  <c:v>2</c:v>
                </c:pt>
                <c:pt idx="3">
                  <c:v>2</c:v>
                </c:pt>
                <c:pt idx="4">
                  <c:v>6</c:v>
                </c:pt>
                <c:pt idx="5">
                  <c:v>2</c:v>
                </c:pt>
                <c:pt idx="6">
                  <c:v>0</c:v>
                </c:pt>
                <c:pt idx="7">
                  <c:v>1</c:v>
                </c:pt>
                <c:pt idx="8">
                  <c:v>2</c:v>
                </c:pt>
                <c:pt idx="9">
                  <c:v>3</c:v>
                </c:pt>
                <c:pt idx="10">
                  <c:v>1</c:v>
                </c:pt>
                <c:pt idx="11">
                  <c:v>2</c:v>
                </c:pt>
                <c:pt idx="12">
                  <c:v>3</c:v>
                </c:pt>
                <c:pt idx="13">
                  <c:v>3</c:v>
                </c:pt>
                <c:pt idx="14">
                  <c:v>4</c:v>
                </c:pt>
                <c:pt idx="15">
                  <c:v>1</c:v>
                </c:pt>
                <c:pt idx="16">
                  <c:v>1</c:v>
                </c:pt>
                <c:pt idx="17">
                  <c:v>3</c:v>
                </c:pt>
                <c:pt idx="18">
                  <c:v>3</c:v>
                </c:pt>
                <c:pt idx="19">
                  <c:v>0</c:v>
                </c:pt>
                <c:pt idx="20">
                  <c:v>3</c:v>
                </c:pt>
                <c:pt idx="21">
                  <c:v>2</c:v>
                </c:pt>
                <c:pt idx="22">
                  <c:v>2</c:v>
                </c:pt>
                <c:pt idx="23">
                  <c:v>6</c:v>
                </c:pt>
                <c:pt idx="24">
                  <c:v>0</c:v>
                </c:pt>
                <c:pt idx="25">
                  <c:v>2</c:v>
                </c:pt>
                <c:pt idx="26">
                  <c:v>5</c:v>
                </c:pt>
                <c:pt idx="27">
                  <c:v>2</c:v>
                </c:pt>
                <c:pt idx="28">
                  <c:v>11</c:v>
                </c:pt>
                <c:pt idx="29">
                  <c:v>2</c:v>
                </c:pt>
                <c:pt idx="30">
                  <c:v>39</c:v>
                </c:pt>
                <c:pt idx="31">
                  <c:v>3</c:v>
                </c:pt>
              </c:numCache>
            </c:numRef>
          </c:val>
          <c:extLst>
            <c:ext xmlns:c16="http://schemas.microsoft.com/office/drawing/2014/chart" uri="{C3380CC4-5D6E-409C-BE32-E72D297353CC}">
              <c16:uniqueId val="{00000000-FA47-4C47-812E-0F8021FAD5DB}"/>
            </c:ext>
          </c:extLst>
        </c:ser>
        <c:ser>
          <c:idx val="1"/>
          <c:order val="1"/>
          <c:tx>
            <c:strRef>
              <c:f>'estado terrenos '!$G$5</c:f>
              <c:strCache>
                <c:ptCount val="1"/>
                <c:pt idx="0">
                  <c:v>TOTAL CAIPI SIN INICIAR</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2">
                        <a:lumMod val="7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'!$G$6:$G$37</c:f>
              <c:numCache>
                <c:formatCode>General</c:formatCode>
                <c:ptCount val="32"/>
                <c:pt idx="0">
                  <c:v>1</c:v>
                </c:pt>
                <c:pt idx="1">
                  <c:v>1</c:v>
                </c:pt>
                <c:pt idx="2">
                  <c:v>1</c:v>
                </c:pt>
                <c:pt idx="3">
                  <c:v>1</c:v>
                </c:pt>
                <c:pt idx="4">
                  <c:v>5</c:v>
                </c:pt>
                <c:pt idx="5">
                  <c:v>0</c:v>
                </c:pt>
                <c:pt idx="6">
                  <c:v>1</c:v>
                </c:pt>
                <c:pt idx="7">
                  <c:v>0</c:v>
                </c:pt>
                <c:pt idx="8">
                  <c:v>1</c:v>
                </c:pt>
                <c:pt idx="9">
                  <c:v>0</c:v>
                </c:pt>
                <c:pt idx="10">
                  <c:v>1</c:v>
                </c:pt>
                <c:pt idx="11">
                  <c:v>0</c:v>
                </c:pt>
                <c:pt idx="12">
                  <c:v>0</c:v>
                </c:pt>
                <c:pt idx="13">
                  <c:v>0</c:v>
                </c:pt>
                <c:pt idx="14">
                  <c:v>2</c:v>
                </c:pt>
                <c:pt idx="15">
                  <c:v>0</c:v>
                </c:pt>
                <c:pt idx="16">
                  <c:v>1</c:v>
                </c:pt>
                <c:pt idx="17">
                  <c:v>1</c:v>
                </c:pt>
                <c:pt idx="18">
                  <c:v>1</c:v>
                </c:pt>
                <c:pt idx="19">
                  <c:v>0</c:v>
                </c:pt>
                <c:pt idx="20">
                  <c:v>0</c:v>
                </c:pt>
                <c:pt idx="21">
                  <c:v>3</c:v>
                </c:pt>
                <c:pt idx="22">
                  <c:v>0</c:v>
                </c:pt>
                <c:pt idx="23">
                  <c:v>4</c:v>
                </c:pt>
                <c:pt idx="24">
                  <c:v>0</c:v>
                </c:pt>
                <c:pt idx="25">
                  <c:v>0</c:v>
                </c:pt>
                <c:pt idx="26">
                  <c:v>1</c:v>
                </c:pt>
                <c:pt idx="27">
                  <c:v>1</c:v>
                </c:pt>
                <c:pt idx="28">
                  <c:v>2</c:v>
                </c:pt>
                <c:pt idx="29">
                  <c:v>0</c:v>
                </c:pt>
                <c:pt idx="30">
                  <c:v>15</c:v>
                </c:pt>
                <c:pt idx="31">
                  <c:v>0</c:v>
                </c:pt>
              </c:numCache>
            </c:numRef>
          </c:val>
          <c:extLst>
            <c:ext xmlns:c16="http://schemas.microsoft.com/office/drawing/2014/chart" uri="{C3380CC4-5D6E-409C-BE32-E72D297353CC}">
              <c16:uniqueId val="{00000001-FA47-4C47-812E-0F8021FAD5DB}"/>
            </c:ext>
          </c:extLst>
        </c:ser>
        <c:dLbls>
          <c:dLblPos val="outEnd"/>
          <c:showLegendKey val="0"/>
          <c:showVal val="1"/>
          <c:showCatName val="0"/>
          <c:showSerName val="0"/>
          <c:showPercent val="0"/>
          <c:showBubbleSize val="0"/>
        </c:dLbls>
        <c:gapWidth val="65"/>
        <c:axId val="-367573776"/>
        <c:axId val="-367573232"/>
      </c:barChart>
      <c:catAx>
        <c:axId val="-3675737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es-ES"/>
          </a:p>
        </c:txPr>
        <c:crossAx val="-367573232"/>
        <c:crosses val="autoZero"/>
        <c:auto val="1"/>
        <c:lblAlgn val="ctr"/>
        <c:lblOffset val="100"/>
        <c:noMultiLvlLbl val="0"/>
      </c:catAx>
      <c:valAx>
        <c:axId val="-3675732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675737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400" b="1" i="0" u="none" strike="noStrike" kern="1200" baseline="0">
                <a:solidFill>
                  <a:schemeClr val="dk1">
                    <a:lumMod val="75000"/>
                    <a:lumOff val="25000"/>
                  </a:schemeClr>
                </a:solidFill>
                <a:latin typeface="+mn-lt"/>
                <a:ea typeface="+mn-ea"/>
                <a:cs typeface="+mn-cs"/>
              </a:defRPr>
            </a:pPr>
            <a:r>
              <a:rPr lang="es-DO" sz="2400"/>
              <a:t>Gráfico CAIPI</a:t>
            </a:r>
            <a:r>
              <a:rPr lang="es-DO" sz="2400" baseline="0"/>
              <a:t> Sorteado Verso Iniciado y Sin Iniciar</a:t>
            </a:r>
            <a:endParaRPr lang="es-DO" sz="2400"/>
          </a:p>
        </c:rich>
      </c:tx>
      <c:layout>
        <c:manualLayout>
          <c:xMode val="edge"/>
          <c:yMode val="edge"/>
          <c:x val="0.14026943363525007"/>
          <c:y val="8.1413205029541136E-2"/>
        </c:manualLayout>
      </c:layout>
      <c:overlay val="0"/>
      <c:spPr>
        <a:noFill/>
        <a:ln>
          <a:noFill/>
        </a:ln>
        <a:effectLst/>
      </c:spPr>
      <c:txPr>
        <a:bodyPr rot="0" spcFirstLastPara="1" vertOverflow="ellipsis" vert="horz" wrap="square" anchor="ctr" anchorCtr="1"/>
        <a:lstStyle/>
        <a:p>
          <a:pPr algn="ctr">
            <a:defRPr sz="24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manualLayout>
          <c:layoutTarget val="inner"/>
          <c:xMode val="edge"/>
          <c:yMode val="edge"/>
          <c:x val="2.7880314674858509E-2"/>
          <c:y val="1.1179090781172523E-2"/>
          <c:w val="0.96918013996865093"/>
          <c:h val="0.55950311661928787"/>
        </c:manualLayout>
      </c:layout>
      <c:barChart>
        <c:barDir val="col"/>
        <c:grouping val="clustered"/>
        <c:varyColors val="0"/>
        <c:ser>
          <c:idx val="0"/>
          <c:order val="0"/>
          <c:tx>
            <c:strRef>
              <c:f>'estado terrenos '!$B$5</c:f>
              <c:strCache>
                <c:ptCount val="1"/>
                <c:pt idx="0">
                  <c:v>CAIPI SORTEADO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0070C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'!$B$6:$B$37</c:f>
              <c:numCache>
                <c:formatCode>General</c:formatCode>
                <c:ptCount val="32"/>
                <c:pt idx="0">
                  <c:v>5</c:v>
                </c:pt>
                <c:pt idx="1">
                  <c:v>5</c:v>
                </c:pt>
                <c:pt idx="2">
                  <c:v>5</c:v>
                </c:pt>
                <c:pt idx="3">
                  <c:v>3</c:v>
                </c:pt>
                <c:pt idx="4">
                  <c:v>14</c:v>
                </c:pt>
                <c:pt idx="5">
                  <c:v>6</c:v>
                </c:pt>
                <c:pt idx="6">
                  <c:v>2</c:v>
                </c:pt>
                <c:pt idx="7">
                  <c:v>2</c:v>
                </c:pt>
                <c:pt idx="8">
                  <c:v>6</c:v>
                </c:pt>
                <c:pt idx="9">
                  <c:v>3</c:v>
                </c:pt>
                <c:pt idx="10">
                  <c:v>3</c:v>
                </c:pt>
                <c:pt idx="11">
                  <c:v>4</c:v>
                </c:pt>
                <c:pt idx="12">
                  <c:v>8</c:v>
                </c:pt>
                <c:pt idx="13">
                  <c:v>7</c:v>
                </c:pt>
                <c:pt idx="14">
                  <c:v>9</c:v>
                </c:pt>
                <c:pt idx="15">
                  <c:v>3</c:v>
                </c:pt>
                <c:pt idx="16">
                  <c:v>3</c:v>
                </c:pt>
                <c:pt idx="17">
                  <c:v>4</c:v>
                </c:pt>
                <c:pt idx="18">
                  <c:v>5</c:v>
                </c:pt>
                <c:pt idx="19">
                  <c:v>1</c:v>
                </c:pt>
                <c:pt idx="20">
                  <c:v>4</c:v>
                </c:pt>
                <c:pt idx="21">
                  <c:v>7</c:v>
                </c:pt>
                <c:pt idx="22">
                  <c:v>3</c:v>
                </c:pt>
                <c:pt idx="23">
                  <c:v>13</c:v>
                </c:pt>
                <c:pt idx="24">
                  <c:v>2</c:v>
                </c:pt>
                <c:pt idx="25">
                  <c:v>6</c:v>
                </c:pt>
                <c:pt idx="26">
                  <c:v>8</c:v>
                </c:pt>
                <c:pt idx="27">
                  <c:v>3</c:v>
                </c:pt>
                <c:pt idx="28">
                  <c:v>22</c:v>
                </c:pt>
                <c:pt idx="29">
                  <c:v>3</c:v>
                </c:pt>
                <c:pt idx="30">
                  <c:v>77</c:v>
                </c:pt>
                <c:pt idx="31">
                  <c:v>5</c:v>
                </c:pt>
              </c:numCache>
            </c:numRef>
          </c:val>
          <c:extLst>
            <c:ext xmlns:c16="http://schemas.microsoft.com/office/drawing/2014/chart" uri="{C3380CC4-5D6E-409C-BE32-E72D297353CC}">
              <c16:uniqueId val="{00000000-05F4-4886-B59D-AD0CBA2434A5}"/>
            </c:ext>
          </c:extLst>
        </c:ser>
        <c:ser>
          <c:idx val="1"/>
          <c:order val="1"/>
          <c:tx>
            <c:strRef>
              <c:f>'estado terrenos '!$D$5</c:f>
              <c:strCache>
                <c:ptCount val="1"/>
                <c:pt idx="0">
                  <c:v>TOTAL CAIPI INICIADO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'!$D$6:$D$37</c:f>
              <c:numCache>
                <c:formatCode>General</c:formatCode>
                <c:ptCount val="32"/>
                <c:pt idx="0">
                  <c:v>1</c:v>
                </c:pt>
                <c:pt idx="1">
                  <c:v>3</c:v>
                </c:pt>
                <c:pt idx="2">
                  <c:v>2</c:v>
                </c:pt>
                <c:pt idx="3">
                  <c:v>2</c:v>
                </c:pt>
                <c:pt idx="4">
                  <c:v>6</c:v>
                </c:pt>
                <c:pt idx="5">
                  <c:v>2</c:v>
                </c:pt>
                <c:pt idx="6">
                  <c:v>0</c:v>
                </c:pt>
                <c:pt idx="7">
                  <c:v>1</c:v>
                </c:pt>
                <c:pt idx="8">
                  <c:v>2</c:v>
                </c:pt>
                <c:pt idx="9">
                  <c:v>3</c:v>
                </c:pt>
                <c:pt idx="10">
                  <c:v>1</c:v>
                </c:pt>
                <c:pt idx="11">
                  <c:v>2</c:v>
                </c:pt>
                <c:pt idx="12">
                  <c:v>3</c:v>
                </c:pt>
                <c:pt idx="13">
                  <c:v>3</c:v>
                </c:pt>
                <c:pt idx="14">
                  <c:v>4</c:v>
                </c:pt>
                <c:pt idx="15">
                  <c:v>1</c:v>
                </c:pt>
                <c:pt idx="16">
                  <c:v>1</c:v>
                </c:pt>
                <c:pt idx="17">
                  <c:v>3</c:v>
                </c:pt>
                <c:pt idx="18">
                  <c:v>3</c:v>
                </c:pt>
                <c:pt idx="19">
                  <c:v>0</c:v>
                </c:pt>
                <c:pt idx="20">
                  <c:v>3</c:v>
                </c:pt>
                <c:pt idx="21">
                  <c:v>2</c:v>
                </c:pt>
                <c:pt idx="22">
                  <c:v>2</c:v>
                </c:pt>
                <c:pt idx="23">
                  <c:v>6</c:v>
                </c:pt>
                <c:pt idx="24">
                  <c:v>0</c:v>
                </c:pt>
                <c:pt idx="25">
                  <c:v>2</c:v>
                </c:pt>
                <c:pt idx="26">
                  <c:v>5</c:v>
                </c:pt>
                <c:pt idx="27">
                  <c:v>2</c:v>
                </c:pt>
                <c:pt idx="28">
                  <c:v>11</c:v>
                </c:pt>
                <c:pt idx="29">
                  <c:v>2</c:v>
                </c:pt>
                <c:pt idx="30">
                  <c:v>39</c:v>
                </c:pt>
                <c:pt idx="31">
                  <c:v>3</c:v>
                </c:pt>
              </c:numCache>
            </c:numRef>
          </c:val>
          <c:extLst>
            <c:ext xmlns:c16="http://schemas.microsoft.com/office/drawing/2014/chart" uri="{C3380CC4-5D6E-409C-BE32-E72D297353CC}">
              <c16:uniqueId val="{00000001-05F4-4886-B59D-AD0CBA2434A5}"/>
            </c:ext>
          </c:extLst>
        </c:ser>
        <c:ser>
          <c:idx val="2"/>
          <c:order val="2"/>
          <c:tx>
            <c:strRef>
              <c:f>'estado terrenos '!$G$5</c:f>
              <c:strCache>
                <c:ptCount val="1"/>
                <c:pt idx="0">
                  <c:v>TOTAL CAIPI SIN INICIAR</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FFC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'!$G$6:$G$37</c:f>
              <c:numCache>
                <c:formatCode>General</c:formatCode>
                <c:ptCount val="32"/>
                <c:pt idx="0">
                  <c:v>1</c:v>
                </c:pt>
                <c:pt idx="1">
                  <c:v>1</c:v>
                </c:pt>
                <c:pt idx="2">
                  <c:v>1</c:v>
                </c:pt>
                <c:pt idx="3">
                  <c:v>1</c:v>
                </c:pt>
                <c:pt idx="4">
                  <c:v>5</c:v>
                </c:pt>
                <c:pt idx="5">
                  <c:v>0</c:v>
                </c:pt>
                <c:pt idx="6">
                  <c:v>1</c:v>
                </c:pt>
                <c:pt idx="7">
                  <c:v>0</c:v>
                </c:pt>
                <c:pt idx="8">
                  <c:v>1</c:v>
                </c:pt>
                <c:pt idx="9">
                  <c:v>0</c:v>
                </c:pt>
                <c:pt idx="10">
                  <c:v>1</c:v>
                </c:pt>
                <c:pt idx="11">
                  <c:v>0</c:v>
                </c:pt>
                <c:pt idx="12">
                  <c:v>0</c:v>
                </c:pt>
                <c:pt idx="13">
                  <c:v>0</c:v>
                </c:pt>
                <c:pt idx="14">
                  <c:v>2</c:v>
                </c:pt>
                <c:pt idx="15">
                  <c:v>0</c:v>
                </c:pt>
                <c:pt idx="16">
                  <c:v>1</c:v>
                </c:pt>
                <c:pt idx="17">
                  <c:v>1</c:v>
                </c:pt>
                <c:pt idx="18">
                  <c:v>1</c:v>
                </c:pt>
                <c:pt idx="19">
                  <c:v>0</c:v>
                </c:pt>
                <c:pt idx="20">
                  <c:v>0</c:v>
                </c:pt>
                <c:pt idx="21">
                  <c:v>3</c:v>
                </c:pt>
                <c:pt idx="22">
                  <c:v>0</c:v>
                </c:pt>
                <c:pt idx="23">
                  <c:v>4</c:v>
                </c:pt>
                <c:pt idx="24">
                  <c:v>0</c:v>
                </c:pt>
                <c:pt idx="25">
                  <c:v>0</c:v>
                </c:pt>
                <c:pt idx="26">
                  <c:v>1</c:v>
                </c:pt>
                <c:pt idx="27">
                  <c:v>1</c:v>
                </c:pt>
                <c:pt idx="28">
                  <c:v>2</c:v>
                </c:pt>
                <c:pt idx="29">
                  <c:v>0</c:v>
                </c:pt>
                <c:pt idx="30">
                  <c:v>15</c:v>
                </c:pt>
                <c:pt idx="31">
                  <c:v>0</c:v>
                </c:pt>
              </c:numCache>
            </c:numRef>
          </c:val>
          <c:extLst>
            <c:ext xmlns:c16="http://schemas.microsoft.com/office/drawing/2014/chart" uri="{C3380CC4-5D6E-409C-BE32-E72D297353CC}">
              <c16:uniqueId val="{00000002-05F4-4886-B59D-AD0CBA2434A5}"/>
            </c:ext>
          </c:extLst>
        </c:ser>
        <c:dLbls>
          <c:showLegendKey val="0"/>
          <c:showVal val="0"/>
          <c:showCatName val="0"/>
          <c:showSerName val="0"/>
          <c:showPercent val="0"/>
          <c:showBubbleSize val="0"/>
        </c:dLbls>
        <c:gapWidth val="75"/>
        <c:overlap val="-25"/>
        <c:axId val="-367575408"/>
        <c:axId val="-367571600"/>
      </c:barChart>
      <c:catAx>
        <c:axId val="-3675754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600" b="0" i="0" u="none" strike="noStrike" kern="1200" cap="all" baseline="0">
                <a:solidFill>
                  <a:schemeClr val="dk1">
                    <a:lumMod val="75000"/>
                    <a:lumOff val="25000"/>
                  </a:schemeClr>
                </a:solidFill>
                <a:latin typeface="+mn-lt"/>
                <a:ea typeface="+mn-ea"/>
                <a:cs typeface="+mn-cs"/>
              </a:defRPr>
            </a:pPr>
            <a:endParaRPr lang="es-ES"/>
          </a:p>
        </c:txPr>
        <c:crossAx val="-367571600"/>
        <c:crosses val="autoZero"/>
        <c:auto val="1"/>
        <c:lblAlgn val="ctr"/>
        <c:lblOffset val="100"/>
        <c:noMultiLvlLbl val="0"/>
      </c:catAx>
      <c:valAx>
        <c:axId val="-36757160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75000"/>
                    <a:lumOff val="25000"/>
                  </a:schemeClr>
                </a:solidFill>
                <a:latin typeface="+mn-lt"/>
                <a:ea typeface="+mn-ea"/>
                <a:cs typeface="+mn-cs"/>
              </a:defRPr>
            </a:pPr>
            <a:endParaRPr lang="es-ES"/>
          </a:p>
        </c:txPr>
        <c:crossAx val="-367575408"/>
        <c:crosses val="autoZero"/>
        <c:crossBetween val="between"/>
      </c:valAx>
      <c:spPr>
        <a:solidFill>
          <a:schemeClr val="accent3">
            <a:lumMod val="20000"/>
            <a:lumOff val="80000"/>
          </a:schemeClr>
        </a:solidFill>
        <a:ln>
          <a:noFill/>
        </a:ln>
        <a:effectLst/>
      </c:spPr>
    </c:plotArea>
    <c:legend>
      <c:legendPos val="b"/>
      <c:layout>
        <c:manualLayout>
          <c:xMode val="edge"/>
          <c:yMode val="edge"/>
          <c:x val="0.13893379218016128"/>
          <c:y val="0.20112571384796948"/>
          <c:w val="0.68979730098815017"/>
          <c:h val="4.173147937729795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9" tint="-0.249977111117893"/>
  </sheetPr>
  <sheetViews>
    <sheetView zoomScale="8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Gráfico9"/>
  <sheetViews>
    <sheetView zoomScale="8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Gráfico15"/>
  <sheetViews>
    <sheetView zoomScale="7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Gráfico16"/>
  <sheetViews>
    <sheetView zoomScale="7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4.xml"/><Relationship Id="rId1" Type="http://schemas.openxmlformats.org/officeDocument/2006/relationships/image" Target="../media/image6.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9</xdr:col>
      <xdr:colOff>668866</xdr:colOff>
      <xdr:row>1</xdr:row>
      <xdr:rowOff>99483</xdr:rowOff>
    </xdr:from>
    <xdr:to>
      <xdr:col>11</xdr:col>
      <xdr:colOff>567266</xdr:colOff>
      <xdr:row>5</xdr:row>
      <xdr:rowOff>40216</xdr:rowOff>
    </xdr:to>
    <xdr:pic>
      <xdr:nvPicPr>
        <xdr:cNvPr id="2" name="Imagen 1" descr="logoquisqueyaempieza_trans.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1366" y="289983"/>
          <a:ext cx="2396067" cy="755650"/>
        </a:xfrm>
        <a:prstGeom prst="rect">
          <a:avLst/>
        </a:prstGeom>
        <a:noFill/>
        <a:ln>
          <a:noFill/>
        </a:ln>
      </xdr:spPr>
    </xdr:pic>
    <xdr:clientData/>
  </xdr:twoCellAnchor>
  <xdr:twoCellAnchor>
    <xdr:from>
      <xdr:col>2</xdr:col>
      <xdr:colOff>159342</xdr:colOff>
      <xdr:row>0</xdr:row>
      <xdr:rowOff>149663</xdr:rowOff>
    </xdr:from>
    <xdr:to>
      <xdr:col>2</xdr:col>
      <xdr:colOff>1004920</xdr:colOff>
      <xdr:row>5</xdr:row>
      <xdr:rowOff>191291</xdr:rowOff>
    </xdr:to>
    <xdr:pic>
      <xdr:nvPicPr>
        <xdr:cNvPr id="3" name="Imagen 1" descr="logo_digepep_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175" y="149663"/>
          <a:ext cx="845578" cy="104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566497</xdr:colOff>
      <xdr:row>0</xdr:row>
      <xdr:rowOff>64213</xdr:rowOff>
    </xdr:from>
    <xdr:to>
      <xdr:col>15</xdr:col>
      <xdr:colOff>205703</xdr:colOff>
      <xdr:row>2</xdr:row>
      <xdr:rowOff>308841</xdr:rowOff>
    </xdr:to>
    <xdr:pic>
      <xdr:nvPicPr>
        <xdr:cNvPr id="4" name="Imagen 3" descr="logoquisqueyaempieza_trans.pn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9109" y="64213"/>
          <a:ext cx="1907024" cy="692005"/>
        </a:xfrm>
        <a:prstGeom prst="rect">
          <a:avLst/>
        </a:prstGeom>
        <a:noFill/>
        <a:ln>
          <a:noFill/>
        </a:ln>
      </xdr:spPr>
    </xdr:pic>
    <xdr:clientData/>
  </xdr:twoCellAnchor>
  <xdr:twoCellAnchor editAs="oneCell">
    <xdr:from>
      <xdr:col>0</xdr:col>
      <xdr:colOff>142875</xdr:colOff>
      <xdr:row>0</xdr:row>
      <xdr:rowOff>0</xdr:rowOff>
    </xdr:from>
    <xdr:to>
      <xdr:col>1</xdr:col>
      <xdr:colOff>219075</xdr:colOff>
      <xdr:row>3</xdr:row>
      <xdr:rowOff>590550</xdr:rowOff>
    </xdr:to>
    <xdr:pic>
      <xdr:nvPicPr>
        <xdr:cNvPr id="6" name="Imagen 5" descr="cid:image001.png@01D67C66.EF9B5050">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2171700"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174625</xdr:colOff>
      <xdr:row>0</xdr:row>
      <xdr:rowOff>149226</xdr:rowOff>
    </xdr:from>
    <xdr:to>
      <xdr:col>14</xdr:col>
      <xdr:colOff>1415567</xdr:colOff>
      <xdr:row>7</xdr:row>
      <xdr:rowOff>269875</xdr:rowOff>
    </xdr:to>
    <xdr:pic>
      <xdr:nvPicPr>
        <xdr:cNvPr id="4" name="Imagen 3" descr="logoquisqueyaempieza_trans.pn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149226"/>
          <a:ext cx="3219393" cy="1247774"/>
        </a:xfrm>
        <a:prstGeom prst="rect">
          <a:avLst/>
        </a:prstGeom>
        <a:noFill/>
        <a:ln>
          <a:noFill/>
        </a:ln>
      </xdr:spPr>
    </xdr:pic>
    <xdr:clientData/>
  </xdr:twoCellAnchor>
  <xdr:twoCellAnchor editAs="oneCell">
    <xdr:from>
      <xdr:col>1</xdr:col>
      <xdr:colOff>0</xdr:colOff>
      <xdr:row>1</xdr:row>
      <xdr:rowOff>0</xdr:rowOff>
    </xdr:from>
    <xdr:to>
      <xdr:col>2</xdr:col>
      <xdr:colOff>1148220</xdr:colOff>
      <xdr:row>9</xdr:row>
      <xdr:rowOff>117431</xdr:rowOff>
    </xdr:to>
    <xdr:pic>
      <xdr:nvPicPr>
        <xdr:cNvPr id="7" name="Imagen 6" descr="cid:image001.png@01D67C66.EF9B5050">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774" y="195719"/>
          <a:ext cx="2713973" cy="16831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8665427" cy="6295793"/>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4554" cy="6293304"/>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195700</xdr:colOff>
      <xdr:row>105</xdr:row>
      <xdr:rowOff>33393</xdr:rowOff>
    </xdr:from>
    <xdr:to>
      <xdr:col>9</xdr:col>
      <xdr:colOff>648139</xdr:colOff>
      <xdr:row>133</xdr:row>
      <xdr:rowOff>122012</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476251</xdr:colOff>
      <xdr:row>1</xdr:row>
      <xdr:rowOff>49791</xdr:rowOff>
    </xdr:from>
    <xdr:to>
      <xdr:col>9</xdr:col>
      <xdr:colOff>495300</xdr:colOff>
      <xdr:row>4</xdr:row>
      <xdr:rowOff>180976</xdr:rowOff>
    </xdr:to>
    <xdr:pic>
      <xdr:nvPicPr>
        <xdr:cNvPr id="4" name="Imagen 3" descr="logoquisqueyaempieza_trans.png">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25126" y="240291"/>
          <a:ext cx="1952624" cy="788410"/>
        </a:xfrm>
        <a:prstGeom prst="rect">
          <a:avLst/>
        </a:prstGeom>
        <a:noFill/>
        <a:ln>
          <a:noFill/>
        </a:ln>
      </xdr:spPr>
    </xdr:pic>
    <xdr:clientData/>
  </xdr:twoCellAnchor>
  <xdr:twoCellAnchor editAs="oneCell">
    <xdr:from>
      <xdr:col>0</xdr:col>
      <xdr:colOff>257175</xdr:colOff>
      <xdr:row>0</xdr:row>
      <xdr:rowOff>47625</xdr:rowOff>
    </xdr:from>
    <xdr:to>
      <xdr:col>2</xdr:col>
      <xdr:colOff>647700</xdr:colOff>
      <xdr:row>6</xdr:row>
      <xdr:rowOff>9524</xdr:rowOff>
    </xdr:to>
    <xdr:pic>
      <xdr:nvPicPr>
        <xdr:cNvPr id="5" name="Imagen 4" descr="cid:image001.png@01D67C66.EF9B5050">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47625"/>
          <a:ext cx="1943100" cy="133349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178592</xdr:colOff>
      <xdr:row>1</xdr:row>
      <xdr:rowOff>120476</xdr:rowOff>
    </xdr:from>
    <xdr:to>
      <xdr:col>10</xdr:col>
      <xdr:colOff>561975</xdr:colOff>
      <xdr:row>4</xdr:row>
      <xdr:rowOff>114300</xdr:rowOff>
    </xdr:to>
    <xdr:pic>
      <xdr:nvPicPr>
        <xdr:cNvPr id="4" name="Imagen 3" descr="logoquisqueyaempieza_trans.png">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2517" y="310976"/>
          <a:ext cx="2002633" cy="727249"/>
        </a:xfrm>
        <a:prstGeom prst="rect">
          <a:avLst/>
        </a:prstGeom>
        <a:noFill/>
        <a:ln>
          <a:noFill/>
        </a:ln>
      </xdr:spPr>
    </xdr:pic>
    <xdr:clientData/>
  </xdr:twoCellAnchor>
  <xdr:oneCellAnchor>
    <xdr:from>
      <xdr:col>7</xdr:col>
      <xdr:colOff>652767</xdr:colOff>
      <xdr:row>35</xdr:row>
      <xdr:rowOff>111450</xdr:rowOff>
    </xdr:from>
    <xdr:ext cx="1738866" cy="653459"/>
    <xdr:pic>
      <xdr:nvPicPr>
        <xdr:cNvPr id="6" name="Imagen 5" descr="logoquisqueyaempieza_trans.pn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1052" y="11264560"/>
          <a:ext cx="1738866" cy="653459"/>
        </a:xfrm>
        <a:prstGeom prst="rect">
          <a:avLst/>
        </a:prstGeom>
        <a:noFill/>
        <a:ln>
          <a:noFill/>
        </a:ln>
      </xdr:spPr>
    </xdr:pic>
    <xdr:clientData/>
  </xdr:oneCellAnchor>
  <xdr:twoCellAnchor>
    <xdr:from>
      <xdr:col>2</xdr:col>
      <xdr:colOff>952500</xdr:colOff>
      <xdr:row>51</xdr:row>
      <xdr:rowOff>83343</xdr:rowOff>
    </xdr:from>
    <xdr:to>
      <xdr:col>7</xdr:col>
      <xdr:colOff>130967</xdr:colOff>
      <xdr:row>74</xdr:row>
      <xdr:rowOff>83343</xdr:rowOff>
    </xdr:to>
    <xdr:graphicFrame macro="">
      <xdr:nvGraphicFramePr>
        <xdr:cNvPr id="9" name="Gráfico 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226218</xdr:colOff>
      <xdr:row>34</xdr:row>
      <xdr:rowOff>83344</xdr:rowOff>
    </xdr:from>
    <xdr:to>
      <xdr:col>1</xdr:col>
      <xdr:colOff>1202530</xdr:colOff>
      <xdr:row>37</xdr:row>
      <xdr:rowOff>178593</xdr:rowOff>
    </xdr:to>
    <xdr:pic>
      <xdr:nvPicPr>
        <xdr:cNvPr id="8" name="Imagen 7" descr="C:\Users\sonia.rodriguez\AppData\Local\Microsoft\Windows\INetCache\Content.Word\LOGODIGEPEP_2018_1.png">
          <a:extLst>
            <a:ext uri="{FF2B5EF4-FFF2-40B4-BE49-F238E27FC236}">
              <a16:creationId xmlns:a16="http://schemas.microsoft.com/office/drawing/2014/main" id="{00000000-0008-0000-0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6218" y="8620125"/>
          <a:ext cx="1393031" cy="785811"/>
        </a:xfrm>
        <a:prstGeom prst="rect">
          <a:avLst/>
        </a:prstGeom>
        <a:noFill/>
        <a:ln>
          <a:noFill/>
        </a:ln>
      </xdr:spPr>
    </xdr:pic>
    <xdr:clientData/>
  </xdr:twoCellAnchor>
  <xdr:twoCellAnchor editAs="oneCell">
    <xdr:from>
      <xdr:col>0</xdr:col>
      <xdr:colOff>361950</xdr:colOff>
      <xdr:row>0</xdr:row>
      <xdr:rowOff>152400</xdr:rowOff>
    </xdr:from>
    <xdr:to>
      <xdr:col>2</xdr:col>
      <xdr:colOff>866775</xdr:colOff>
      <xdr:row>5</xdr:row>
      <xdr:rowOff>142875</xdr:rowOff>
    </xdr:to>
    <xdr:pic>
      <xdr:nvPicPr>
        <xdr:cNvPr id="11" name="Imagen 10" descr="cid:image001.png@01D67C66.EF9B5050">
          <a:extLst>
            <a:ext uri="{FF2B5EF4-FFF2-40B4-BE49-F238E27FC236}">
              <a16:creationId xmlns:a16="http://schemas.microsoft.com/office/drawing/2014/main" id="{00000000-0008-0000-0E00-00000B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1950" y="152400"/>
          <a:ext cx="2266950" cy="1209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8663836" cy="6289110"/>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2993" cy="6278451"/>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lexis%20Garc&#237;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Elly%20Alm&#225;nz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ODRIGUEZPC\Users\sonia.rodriguez\Desktop\Archivos%20Comparitdos\Sistematizacion\Matriz%20Seguimiento%20Mensual\Resumen%20Mensual%20Ing.%20Gregory%20Perez.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onia.rodriguez\Desktop\Sistematizaci&#243;n%20julio%202019\Matriz%20Seguimiento%20Mensual\Resumen%20Mensual%20Nolis%20J&#225;que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Clarivel%20Adam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ngela%20Santa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Genesis%20Piment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Magdalena%20Marmolej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Gregory%20Perez.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nny%20Almanzar%20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Nolis%20J&#225;quez%20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Isania%20Mu&#241;o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Alexis-Sept. 20 "/>
    </sheetNames>
    <sheetDataSet>
      <sheetData sheetId="0" refreshError="1"/>
      <sheetData sheetId="1">
        <row r="11">
          <cell r="H11" t="str">
            <v>Inaugurado</v>
          </cell>
          <cell r="K11" t="str">
            <v>18.457552, -70.72747</v>
          </cell>
          <cell r="L11" t="str">
            <v>2 N</v>
          </cell>
          <cell r="M11" t="str">
            <v>MDM Arquit., EIRL / Mario Delgado Malagón</v>
          </cell>
          <cell r="N11" t="str">
            <v>809-712-8343 / 829-9700155</v>
          </cell>
          <cell r="O11" t="str">
            <v>mariodelgadomalagon@yahoo.com</v>
          </cell>
          <cell r="P11" t="str">
            <v>1ER</v>
          </cell>
          <cell r="Q11">
            <v>1</v>
          </cell>
        </row>
        <row r="12">
          <cell r="H12" t="str">
            <v>Inaugurado</v>
          </cell>
          <cell r="J12" t="str">
            <v>CAIPI inaugurado. Este Caipi fue inaugurado el 28 de julio de 2020 y solo falta la instalacion de los equipos de cocina y algunos detalles menores</v>
          </cell>
          <cell r="K12" t="str">
            <v>18.46111, -70.74270</v>
          </cell>
          <cell r="L12" t="str">
            <v>1 N</v>
          </cell>
          <cell r="M12" t="str">
            <v>Ramón Oscar Ditren Perdomo</v>
          </cell>
          <cell r="N12" t="str">
            <v>829-701-4435</v>
          </cell>
          <cell r="O12" t="str">
            <v>oditren@hotmail.com</v>
          </cell>
          <cell r="P12" t="str">
            <v>1ER</v>
          </cell>
          <cell r="Q12">
            <v>1</v>
          </cell>
        </row>
        <row r="13">
          <cell r="H13" t="str">
            <v>Inaugurado</v>
          </cell>
          <cell r="I13">
            <v>0</v>
          </cell>
          <cell r="J13" t="str">
            <v>CAIPI inaugurado. Este Caipi fue inaugurado el dia 28 de julio 2020 y solo falta dar mantenimiento a las areas exteriores</v>
          </cell>
          <cell r="K13" t="str">
            <v>18.44640,-70.73738</v>
          </cell>
          <cell r="L13" t="str">
            <v>1 N</v>
          </cell>
          <cell r="M13" t="str">
            <v>Marcia Alexandra Calderón de Brea</v>
          </cell>
          <cell r="N13" t="str">
            <v>(809)304-5482</v>
          </cell>
          <cell r="O13" t="str">
            <v>calderon.marcia@gmail.com</v>
          </cell>
          <cell r="P13" t="str">
            <v>2DO</v>
          </cell>
          <cell r="Q13">
            <v>1</v>
          </cell>
        </row>
        <row r="14">
          <cell r="H14" t="str">
            <v>En Construcción</v>
          </cell>
          <cell r="I14">
            <v>0</v>
          </cell>
          <cell r="J14" t="str">
            <v>CAIPI en construccion. Esta trabajando en la terminacion de cantos y mochetas en el 1er y 2do nivel. Solicitamos la construcción de la rampa de acceso al segundo nivel y la construcción de una garita para el portero, dada la inclemencia del clima de la zona y la distancia.</v>
          </cell>
          <cell r="K14" t="str">
            <v>18.449060, -70.720413</v>
          </cell>
          <cell r="L14" t="str">
            <v>2 N</v>
          </cell>
          <cell r="M14" t="str">
            <v>Diny Wander Matos Garabito</v>
          </cell>
          <cell r="N14" t="str">
            <v>(809)912-6070</v>
          </cell>
          <cell r="O14" t="str">
            <v>dinymatos@hotmail.com</v>
          </cell>
          <cell r="P14" t="str">
            <v>2DO</v>
          </cell>
          <cell r="Q14">
            <v>0.48</v>
          </cell>
        </row>
        <row r="15">
          <cell r="H15" t="str">
            <v>Sin Iniciar</v>
          </cell>
          <cell r="I15" t="str">
            <v xml:space="preserve">Negociado </v>
          </cell>
          <cell r="J15" t="str">
            <v>CAIPI en negociación. Las familias recibieron el pago por la casas que fueron demolidas, pero están en espera del pago de los terrenos para poder iniciar los trabajos. La OGI está evaluando resindir este acuerdo.</v>
          </cell>
          <cell r="K15">
            <v>0</v>
          </cell>
          <cell r="L15">
            <v>0</v>
          </cell>
          <cell r="M15" t="str">
            <v xml:space="preserve">Herbert Lenin Brito </v>
          </cell>
          <cell r="N15">
            <v>0</v>
          </cell>
          <cell r="O15">
            <v>0</v>
          </cell>
          <cell r="P15" t="str">
            <v>2DO</v>
          </cell>
          <cell r="Q15">
            <v>0</v>
          </cell>
        </row>
        <row r="16">
          <cell r="H16" t="str">
            <v>Inaugurado</v>
          </cell>
          <cell r="K16" t="str">
            <v>18,28417, -70,34220</v>
          </cell>
          <cell r="L16" t="str">
            <v>2 N</v>
          </cell>
          <cell r="M16" t="str">
            <v>Leidy Espinosa Mejía</v>
          </cell>
          <cell r="N16" t="str">
            <v>809-563-1496 / 809-854-1868</v>
          </cell>
          <cell r="O16" t="str">
            <v>leidyme@hotmail.com</v>
          </cell>
          <cell r="P16" t="str">
            <v>1ER</v>
          </cell>
          <cell r="Q16">
            <v>1</v>
          </cell>
        </row>
        <row r="17">
          <cell r="H17" t="str">
            <v>Detenido pago cubicación</v>
          </cell>
          <cell r="J17" t="str">
            <v>CAIPI detenido por pago de cubicaciones, Esta Caipi esta en fase de terminación sin embargo está detenido desde el mes de septiembre 2019. Recordamos la necesidad de la escalera de acceso a la azotea.</v>
          </cell>
          <cell r="K17" t="str">
            <v>18,2852556, -70,3324021</v>
          </cell>
          <cell r="L17" t="str">
            <v>2 N</v>
          </cell>
          <cell r="M17" t="str">
            <v>Ingenieria Higüerito SRL/José Ramírez</v>
          </cell>
          <cell r="N17" t="str">
            <v>(829)912-2490</v>
          </cell>
          <cell r="O17" t="str">
            <v>vlasanchez@yahoo.com</v>
          </cell>
          <cell r="P17" t="str">
            <v>2DO</v>
          </cell>
          <cell r="Q17">
            <v>0.85</v>
          </cell>
        </row>
        <row r="18">
          <cell r="H18" t="str">
            <v>Detenido pago cubicación</v>
          </cell>
          <cell r="J18" t="str">
            <v>CAIPI detenido por pago de cubicación. Este Caipi está detenido desde mediado de agosto, se trabajó en la colocación de pisos en primer y segundo nivel y en la aplicación de la pintura base. Sugerimos la construcción de la 2da caseta para depósito, la adecuación de las calles perimetrales, la escalera de acceso a la azotea y la rampa de acceso al segundo nivel.</v>
          </cell>
          <cell r="K18" t="str">
            <v>18,266751, -70,325672</v>
          </cell>
          <cell r="L18" t="str">
            <v>2 N</v>
          </cell>
          <cell r="M18" t="str">
            <v>Santa Ana Guzman Ubri</v>
          </cell>
          <cell r="N18" t="str">
            <v>(809)603-3739</v>
          </cell>
          <cell r="O18" t="str">
            <v>arqradriel@hotmail.es</v>
          </cell>
          <cell r="P18" t="str">
            <v>2DO</v>
          </cell>
          <cell r="Q18">
            <v>0.72</v>
          </cell>
        </row>
        <row r="19">
          <cell r="H19" t="str">
            <v>Detenido</v>
          </cell>
          <cell r="J19" t="str">
            <v>CAIPI detenido. El 26/11/19 recibió la aprobación ejecución de pilotes, se cotizo con las compañías autorizadas. Está en espera de confirmación del MINERD; Estos trabajos están detenido desde inicio de la cuarentena.</v>
          </cell>
          <cell r="K19" t="str">
            <v>18,241830, -70,211899</v>
          </cell>
          <cell r="L19" t="str">
            <v>1 N</v>
          </cell>
          <cell r="M19" t="str">
            <v>Ana de la Rosa Mercedes</v>
          </cell>
          <cell r="N19" t="str">
            <v>(809)913-2813</v>
          </cell>
          <cell r="O19" t="str">
            <v>evenecer.arm@hotmail.com</v>
          </cell>
          <cell r="P19" t="str">
            <v>2DO</v>
          </cell>
          <cell r="Q19">
            <v>0</v>
          </cell>
        </row>
        <row r="20">
          <cell r="H20" t="str">
            <v>Inaugurado</v>
          </cell>
          <cell r="K20">
            <v>0</v>
          </cell>
          <cell r="L20">
            <v>0</v>
          </cell>
          <cell r="M20" t="str">
            <v>LAMPARD GROUP, SRL / Juan D. Pérez</v>
          </cell>
          <cell r="N20" t="str">
            <v>809-424-3032 / 809-334-3426</v>
          </cell>
          <cell r="O20" t="str">
            <v>lampardgroupsrl@gmail.com / arq.jdpr@gmail.com</v>
          </cell>
          <cell r="P20" t="str">
            <v>1ER</v>
          </cell>
          <cell r="Q20">
            <v>1</v>
          </cell>
        </row>
        <row r="21">
          <cell r="H21" t="str">
            <v>Inaugurado</v>
          </cell>
          <cell r="J21" t="str">
            <v>CAIPI inaugurado. Este Caipi fue inaugurado el 28 de julio 2020.</v>
          </cell>
          <cell r="K21" t="str">
            <v>18,58176, -70,49736</v>
          </cell>
          <cell r="L21" t="str">
            <v>1 N</v>
          </cell>
          <cell r="M21" t="str">
            <v>Francisco Reynaldo Martinez Subero</v>
          </cell>
          <cell r="N21" t="str">
            <v>(829)447-9337</v>
          </cell>
          <cell r="O21" t="str">
            <v>martinezsubero2010@hotmail.com</v>
          </cell>
          <cell r="P21" t="str">
            <v>2DO</v>
          </cell>
          <cell r="Q21">
            <v>1</v>
          </cell>
        </row>
        <row r="22">
          <cell r="H22" t="str">
            <v>En Construcción</v>
          </cell>
          <cell r="J22" t="str">
            <v>CAIPI en construcción. El contratista está trabajando en la colocación de pisos y el pañete exterior. Sigue pendiente de la adecuación de la cocina, de acuerdo con los requerimientos del INAIPI.</v>
          </cell>
          <cell r="K22" t="str">
            <v>18,205134, -71,109655</v>
          </cell>
          <cell r="L22" t="str">
            <v>2 N</v>
          </cell>
          <cell r="M22" t="str">
            <v>Luís Bienvenido Ledesma Cuevas</v>
          </cell>
          <cell r="N22" t="str">
            <v>829-943-7559</v>
          </cell>
          <cell r="O22" t="str">
            <v>b.ledesma9@gmail.com</v>
          </cell>
          <cell r="P22" t="str">
            <v>1ER</v>
          </cell>
          <cell r="Q22">
            <v>0.63</v>
          </cell>
        </row>
        <row r="23">
          <cell r="H23" t="str">
            <v>Detenido</v>
          </cell>
          <cell r="J23" t="str">
            <v>CAIPI detenido. El contratista detuvo los trabajos a solicitud de los propietarios del terreno a partir del mes de enero 2020, ya que dichos propietarios realizaron un acuerdo con el MINERD para que al iniciar los trabajos de construcción del CAIPI iniciarían también los trabajos de construcción de un centro de educación para sordo mudos y no se realizado</v>
          </cell>
          <cell r="K23" t="str">
            <v>18,2108480, -71,0994650</v>
          </cell>
          <cell r="L23" t="str">
            <v>1 N</v>
          </cell>
          <cell r="M23" t="str">
            <v>Hector Bienvenido Segura Matos</v>
          </cell>
          <cell r="N23" t="str">
            <v>(809)524-2028</v>
          </cell>
          <cell r="O23" t="str">
            <v>hector.claro@hotmail.com</v>
          </cell>
          <cell r="P23" t="str">
            <v>2DO</v>
          </cell>
          <cell r="Q23">
            <v>0.02</v>
          </cell>
        </row>
        <row r="24">
          <cell r="H24" t="str">
            <v>Inaugurado</v>
          </cell>
          <cell r="J24" t="str">
            <v>CAIPI en servicio, Este centro fue inaugurado, en la primera semana de febrero 2019.</v>
          </cell>
          <cell r="K24" t="str">
            <v>18,1965460, -71,1055100</v>
          </cell>
          <cell r="L24" t="str">
            <v>2 N</v>
          </cell>
          <cell r="M24" t="str">
            <v>Construcciones SLAVA SRL/Stalin Carbonell</v>
          </cell>
          <cell r="N24" t="str">
            <v>(829)260-9365</v>
          </cell>
          <cell r="O24" t="str">
            <v>stalincarbonell@yahoo.com</v>
          </cell>
          <cell r="P24" t="str">
            <v>2DO</v>
          </cell>
          <cell r="Q24">
            <v>1</v>
          </cell>
        </row>
        <row r="25">
          <cell r="H25" t="str">
            <v>Inaugurado</v>
          </cell>
          <cell r="J25">
            <v>0</v>
          </cell>
          <cell r="K25">
            <v>0</v>
          </cell>
          <cell r="L25">
            <v>0</v>
          </cell>
          <cell r="M25" t="str">
            <v>Venerado León Turbó</v>
          </cell>
          <cell r="N25">
            <v>0</v>
          </cell>
          <cell r="O25">
            <v>0</v>
          </cell>
          <cell r="P25" t="str">
            <v>1ER</v>
          </cell>
          <cell r="Q25">
            <v>1</v>
          </cell>
        </row>
        <row r="26">
          <cell r="H26" t="str">
            <v>Sin Iniciar</v>
          </cell>
          <cell r="I26" t="str">
            <v xml:space="preserve">Con Propuesta </v>
          </cell>
          <cell r="J26">
            <v>0</v>
          </cell>
          <cell r="K26">
            <v>0</v>
          </cell>
          <cell r="L26">
            <v>0</v>
          </cell>
          <cell r="M26" t="str">
            <v>Francisco Alejandro Prats Morey</v>
          </cell>
          <cell r="N26" t="str">
            <v>(809)707-0240</v>
          </cell>
          <cell r="O26" t="str">
            <v>alex_prats@hotmail.com</v>
          </cell>
          <cell r="P26" t="str">
            <v>2DO</v>
          </cell>
          <cell r="Q26">
            <v>0</v>
          </cell>
        </row>
        <row r="27">
          <cell r="H27" t="str">
            <v>Sin Iniciar</v>
          </cell>
          <cell r="I27" t="str">
            <v xml:space="preserve">Con Propuesta </v>
          </cell>
          <cell r="K27">
            <v>0</v>
          </cell>
          <cell r="L27">
            <v>0</v>
          </cell>
          <cell r="M27" t="str">
            <v>Jesus Emmanuel Montero Javier</v>
          </cell>
          <cell r="N27" t="str">
            <v>(829)858-7483</v>
          </cell>
          <cell r="O27" t="str">
            <v>emmanuel.grupokratos@gmail.com</v>
          </cell>
          <cell r="P27" t="str">
            <v>2DO</v>
          </cell>
          <cell r="Q27">
            <v>0</v>
          </cell>
        </row>
        <row r="28">
          <cell r="H28" t="str">
            <v>Inaugurado</v>
          </cell>
          <cell r="J28">
            <v>0</v>
          </cell>
          <cell r="K28">
            <v>0</v>
          </cell>
          <cell r="L28">
            <v>0</v>
          </cell>
          <cell r="M28" t="str">
            <v>Yonny Pérez, S.R.L.</v>
          </cell>
          <cell r="N28">
            <v>8098012981</v>
          </cell>
          <cell r="O28" t="str">
            <v>marlenejfl@hotmail.com; jhonnyperez69@gmail.com</v>
          </cell>
          <cell r="P28" t="str">
            <v>1ER</v>
          </cell>
          <cell r="Q28">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Elly Almánzar SEPT..20"/>
    </sheetNames>
    <sheetDataSet>
      <sheetData sheetId="0" refreshError="1"/>
      <sheetData sheetId="1">
        <row r="10">
          <cell r="H10" t="str">
            <v>Detenido</v>
          </cell>
          <cell r="J10" t="str">
            <v xml:space="preserve">CAIPI detenido desde 22 de Julio 2019, por falta de recursos. Sugerimos la intervención del MINERD de manera inmediata para hacer que este contratista  cumpla con sus obligaciones debido a que arrastra problemas económicos y no muestra interés por resolverlos. 
En cuanto a la demolición de algunas losas en pasarela que se sugirieron, no confiamos en las posibles reparaciones que realice este contratista dado que no ha mostrado ninguna calidad técnica en su obra. 
</v>
          </cell>
          <cell r="K10" t="str">
            <v>19.836526, -71.638587</v>
          </cell>
          <cell r="L10" t="str">
            <v>1N</v>
          </cell>
          <cell r="M10" t="str">
            <v>Julie Belliard Fernández /Rafael Tamaño</v>
          </cell>
          <cell r="N10" t="str">
            <v>809-877-1606 /829-548-1236/809-753-5530</v>
          </cell>
          <cell r="P10" t="str">
            <v>1ER</v>
          </cell>
          <cell r="Q10">
            <v>0.56999999999999995</v>
          </cell>
        </row>
        <row r="11">
          <cell r="H11" t="str">
            <v>Detenido</v>
          </cell>
          <cell r="J11" t="str">
            <v>CAIPI detenido desde 5 de marzo de 2020. No tiene justificación para no avanzar los trabajos, se le realizó el pago de la cubicación pendiente. El MOPC informa que el contratista espera el pago del reconocimiento de movimientos de tierra.</v>
          </cell>
          <cell r="K11" t="str">
            <v>19.848174, -71.654258</v>
          </cell>
          <cell r="L11" t="str">
            <v>1N</v>
          </cell>
          <cell r="M11" t="str">
            <v>Const. Recrilo SRL/Guarionex Reyes</v>
          </cell>
          <cell r="N11" t="str">
            <v>(809)702-5183</v>
          </cell>
          <cell r="O11" t="str">
            <v>guario22@hotmail.com</v>
          </cell>
          <cell r="P11" t="str">
            <v>2DO</v>
          </cell>
          <cell r="Q11">
            <v>0.25</v>
          </cell>
        </row>
        <row r="12">
          <cell r="H12" t="str">
            <v>Detenido</v>
          </cell>
          <cell r="J12" t="str">
            <v>CAIPI detenido desde el 24 noviembre 2018. La Supervisión (MOPC) cubicó el avance para iniciar el proceso de rescisión (departamento legal MINERD). A pesar del acuerdo hecho con el MINERD en reunión del 24/04/2019, hasta la fecha el contratista no responde y no se ha tomado ninguna acción por parte del MINERD. Solicitamos que la obra sea intervenida. El contratista no muestra interés.</v>
          </cell>
          <cell r="K12" t="str">
            <v>19.696858, -71.743919</v>
          </cell>
          <cell r="L12" t="str">
            <v>1N</v>
          </cell>
          <cell r="M12" t="str">
            <v>Fernando Arturo Cabreja Abreu</v>
          </cell>
          <cell r="N12" t="str">
            <v>(849)455-6799</v>
          </cell>
          <cell r="O12" t="str">
            <v>fc-elmaster@hotmail.com</v>
          </cell>
          <cell r="P12" t="str">
            <v>2DO</v>
          </cell>
          <cell r="Q12">
            <v>0.05</v>
          </cell>
        </row>
        <row r="13">
          <cell r="H13" t="str">
            <v>Sin Iniciar</v>
          </cell>
          <cell r="I13" t="str">
            <v xml:space="preserve">Sin Propuesta </v>
          </cell>
          <cell r="J13">
            <v>0</v>
          </cell>
          <cell r="K13" t="str">
            <v>19.758092, -70.831036</v>
          </cell>
          <cell r="L13">
            <v>0</v>
          </cell>
          <cell r="M13" t="str">
            <v>Luis Manuel Duran Mieses</v>
          </cell>
          <cell r="N13" t="str">
            <v>(829)860-5330</v>
          </cell>
          <cell r="O13" t="str">
            <v>ingluismldu12@gmail.com</v>
          </cell>
          <cell r="P13" t="str">
            <v>2DO</v>
          </cell>
          <cell r="Q13">
            <v>0</v>
          </cell>
        </row>
        <row r="14">
          <cell r="H14" t="str">
            <v>Inaugurado</v>
          </cell>
          <cell r="J14" t="str">
            <v xml:space="preserve">CAIPI para inaugurar. No se solucionó el problema de tropezones o desniveles del piso. Estos son un peligro para los niños y dificulta el paso para niños-as y persona con alguna discapacidad. </v>
          </cell>
          <cell r="K14" t="str">
            <v>19.411608, -70.709427</v>
          </cell>
          <cell r="L14" t="str">
            <v>1N</v>
          </cell>
          <cell r="M14" t="str">
            <v>JUAN PABLO RODRÍGUEZ SANTOS</v>
          </cell>
          <cell r="N14" t="str">
            <v>(809)918-7242</v>
          </cell>
          <cell r="O14" t="str">
            <v>juanpablo.rod@hotmail.com</v>
          </cell>
          <cell r="P14" t="str">
            <v>1ER</v>
          </cell>
          <cell r="Q14">
            <v>1</v>
          </cell>
        </row>
        <row r="15">
          <cell r="H15" t="str">
            <v>Detenido pago cubicación</v>
          </cell>
          <cell r="J15" t="str">
            <v>CAIPI detenido por pago de cubicación desde 22 de julio del 2020. Avanzó los muros de block del segundo piso a nivel de viga de amarre.</v>
          </cell>
          <cell r="K15" t="str">
            <v>19.50873; -70.75906</v>
          </cell>
          <cell r="L15" t="str">
            <v>2N</v>
          </cell>
          <cell r="M15" t="str">
            <v>OSIRIS LIBERATO</v>
          </cell>
          <cell r="N15" t="str">
            <v>(829)230-1948</v>
          </cell>
          <cell r="P15" t="str">
            <v>2DO</v>
          </cell>
          <cell r="Q15">
            <v>0.32</v>
          </cell>
        </row>
        <row r="16">
          <cell r="H16" t="str">
            <v>En Construcción</v>
          </cell>
          <cell r="J16" t="str">
            <v xml:space="preserve">CAIPI en construcción. Se vaciaron los pichones de columna del comedor y pasarela, se procederá al relleno de zapata, para colocar block bajo nivel de piso. </v>
          </cell>
          <cell r="K16" t="str">
            <v xml:space="preserve">19.420828, -70.686385  </v>
          </cell>
          <cell r="L16" t="str">
            <v>1N</v>
          </cell>
          <cell r="M16" t="str">
            <v>HERALCA SRL/Arturo Arias</v>
          </cell>
          <cell r="N16" t="str">
            <v>(809)616-8411</v>
          </cell>
          <cell r="O16" t="str">
            <v>heralca@gmail.com</v>
          </cell>
          <cell r="P16" t="str">
            <v>2DO</v>
          </cell>
          <cell r="Q16">
            <v>0.23</v>
          </cell>
        </row>
        <row r="17">
          <cell r="H17" t="str">
            <v>Inaugurado</v>
          </cell>
          <cell r="K17" t="str">
            <v xml:space="preserve">19.485475, -70.702501 </v>
          </cell>
          <cell r="L17" t="str">
            <v>1N</v>
          </cell>
          <cell r="M17" t="str">
            <v>Rafael Antonio Dominguez Capellan</v>
          </cell>
          <cell r="N17" t="str">
            <v>(809)710-3118</v>
          </cell>
          <cell r="O17" t="str">
            <v>rd_dguez@yahoo.com</v>
          </cell>
          <cell r="P17" t="str">
            <v>2DO</v>
          </cell>
          <cell r="Q17">
            <v>1</v>
          </cell>
        </row>
        <row r="18">
          <cell r="H18" t="str">
            <v>Detenido pago cubicación</v>
          </cell>
          <cell r="J18" t="str">
            <v>CAIPI detenido por cubicaciones pendientes desde 13 de julio 2020, realizo el pañete de techo en el módulo de 1ª2 años..</v>
          </cell>
          <cell r="K18" t="str">
            <v>19.447808, -70.730011</v>
          </cell>
          <cell r="L18" t="str">
            <v>1N</v>
          </cell>
          <cell r="M18" t="str">
            <v>Eduardo de León</v>
          </cell>
          <cell r="N18" t="str">
            <v>(809)399-1763</v>
          </cell>
          <cell r="O18" t="str">
            <v>ing.eduardodeleon@gmail.com</v>
          </cell>
          <cell r="P18" t="str">
            <v>2DO</v>
          </cell>
          <cell r="Q18">
            <v>0.33</v>
          </cell>
        </row>
        <row r="19">
          <cell r="H19" t="str">
            <v>Inaugurado</v>
          </cell>
          <cell r="M19" t="str">
            <v>Daniel Ant. Suarez</v>
          </cell>
          <cell r="P19" t="str">
            <v>1ER</v>
          </cell>
          <cell r="Q19">
            <v>1</v>
          </cell>
        </row>
        <row r="20">
          <cell r="H20" t="str">
            <v>Sin Iniciar</v>
          </cell>
          <cell r="I20" t="str">
            <v xml:space="preserve">Sin Propuesta </v>
          </cell>
          <cell r="J20" t="str">
            <v>En espera para ser reubicado tiene el dinero de  avance constructivo.</v>
          </cell>
          <cell r="K20">
            <v>0</v>
          </cell>
          <cell r="L20">
            <v>0</v>
          </cell>
          <cell r="M20" t="str">
            <v>Francisco Rene Quintana Alvarez</v>
          </cell>
          <cell r="N20" t="str">
            <v>(809)971-8103</v>
          </cell>
          <cell r="P20" t="str">
            <v>2DO</v>
          </cell>
          <cell r="Q20">
            <v>0</v>
          </cell>
        </row>
        <row r="21">
          <cell r="H21" t="str">
            <v>En Construcción</v>
          </cell>
          <cell r="J21" t="str">
            <v>CAIPI en construcción reorganiza los trabajadores para el iniciar los procesos constructivos en octubre 2020</v>
          </cell>
          <cell r="K21" t="str">
            <v>19.341560, -70.935220</v>
          </cell>
          <cell r="L21" t="str">
            <v>2N</v>
          </cell>
          <cell r="M21" t="str">
            <v>Cyndi Johanna Castillo Calderon</v>
          </cell>
          <cell r="N21" t="str">
            <v>(809)879-1712</v>
          </cell>
          <cell r="O21" t="str">
            <v>cyndi_castillo@hotmail.com</v>
          </cell>
          <cell r="P21" t="str">
            <v>2DO</v>
          </cell>
          <cell r="Q21">
            <v>0.06</v>
          </cell>
        </row>
        <row r="22">
          <cell r="H22" t="str">
            <v>Detenido</v>
          </cell>
          <cell r="J22" t="str">
            <v>CAIPI en construcción, reinicio los procesos constructivos, espera a que el agrimensor esté disponible para ratificaciones de puntos de la verja perimetral.</v>
          </cell>
          <cell r="K22">
            <v>0</v>
          </cell>
          <cell r="L22">
            <v>0</v>
          </cell>
          <cell r="M22" t="str">
            <v>Luis Manuel Concepción</v>
          </cell>
          <cell r="N22" t="str">
            <v>(809)941-5367</v>
          </cell>
          <cell r="P22" t="str">
            <v>2DO</v>
          </cell>
          <cell r="Q22">
            <v>0.03</v>
          </cell>
        </row>
        <row r="23">
          <cell r="H23" t="str">
            <v>Detenido</v>
          </cell>
          <cell r="J23" t="str">
            <v>CAIPI detenido. El 27/08/2018 el MOPC recibió el estudio de suelo. Tiene el avance de obra. El propietario del terreno no le permitía trabajar hasta recibir el pago del terreno que habían vendido para un politécnico. Recibió dicho pago y aún no completa los documentos para firmar el nuevo contrato del terreno del CAIPI. Ha cambiado la versión varias veces y actualmente no permite iniciar los trabajos, bajo el alegato de que no ha firmado (pero la firma solo depende de él)</v>
          </cell>
          <cell r="K23" t="str">
            <v>19.559062, -70.864649</v>
          </cell>
          <cell r="L23">
            <v>0</v>
          </cell>
          <cell r="M23" t="str">
            <v>Luis Ernesto Gobaira Maluf</v>
          </cell>
          <cell r="N23" t="str">
            <v>(809)710-2611</v>
          </cell>
          <cell r="O23" t="str">
            <v>luisgobaira@hotmail.com</v>
          </cell>
          <cell r="P23" t="str">
            <v>2DO</v>
          </cell>
          <cell r="Q23">
            <v>0</v>
          </cell>
        </row>
        <row r="24">
          <cell r="H24" t="str">
            <v>Inaugurado</v>
          </cell>
          <cell r="J24">
            <v>0</v>
          </cell>
          <cell r="K24">
            <v>0</v>
          </cell>
          <cell r="L24">
            <v>0</v>
          </cell>
          <cell r="M24" t="str">
            <v>Fausto Ulises Brito</v>
          </cell>
          <cell r="P24" t="str">
            <v>1ER</v>
          </cell>
          <cell r="Q24">
            <v>1</v>
          </cell>
        </row>
        <row r="25">
          <cell r="H25" t="str">
            <v>Detenido pago cubicación</v>
          </cell>
          <cell r="J25" t="str">
            <v xml:space="preserve">CAIPI detenida por pago de cubicación desde el 14 de julio de 2020 por pago de cubicación, trabajaba con la colocación de tuberías eléctricas. </v>
          </cell>
          <cell r="K25" t="str">
            <v>19.574672, -70.981761</v>
          </cell>
          <cell r="L25" t="str">
            <v>1N</v>
          </cell>
          <cell r="M25" t="str">
            <v>Jose Francisco Cabrera Tineo</v>
          </cell>
          <cell r="N25" t="str">
            <v>(809)717-0354</v>
          </cell>
          <cell r="P25" t="str">
            <v>2DO</v>
          </cell>
          <cell r="Q25">
            <v>0.69</v>
          </cell>
        </row>
        <row r="26">
          <cell r="H26" t="str">
            <v>Inaugurado</v>
          </cell>
          <cell r="J26">
            <v>0</v>
          </cell>
          <cell r="K26">
            <v>0</v>
          </cell>
          <cell r="L26">
            <v>0</v>
          </cell>
          <cell r="M26" t="str">
            <v>Fernando Damián Gómez García</v>
          </cell>
          <cell r="P26" t="str">
            <v>1ER</v>
          </cell>
          <cell r="Q26">
            <v>1</v>
          </cell>
        </row>
        <row r="27">
          <cell r="H27" t="str">
            <v>Detenido</v>
          </cell>
          <cell r="J27" t="str">
            <v>CAIPI detenida desde 21 de julio de 2020. Espera desembolso de línea de crédito desde 3 de Julio 2020. Avanzaba con la colocación de tejas en los módulos 1ª2, 3ª4 años, coloca pisos en pasarela de casona y comedor, corrigió muro de área del comedor.  Se sugiere por riesgo para los niños, eliminar las Cyca Revolutas en las jardineras interiores.</v>
          </cell>
          <cell r="K27" t="str">
            <v>19.534553, -71.076933</v>
          </cell>
          <cell r="L27" t="str">
            <v>1N</v>
          </cell>
          <cell r="M27" t="str">
            <v>Robin Rafael del Carmen Taveras Mendoza</v>
          </cell>
          <cell r="N27" t="str">
            <v>(809)674-8750</v>
          </cell>
          <cell r="P27" t="str">
            <v>2DO</v>
          </cell>
          <cell r="Q27">
            <v>0.79</v>
          </cell>
        </row>
        <row r="28">
          <cell r="H28" t="str">
            <v>Detenido</v>
          </cell>
          <cell r="J28" t="str">
            <v>CAIPI detenido desde 14 de julio de 2020. Realizaba el replanteo del drenaje francés y se observó que este limitaba muy cerca del muro encachado lateral derecho (lado parque), se le comunicó a la supervisión a que se envíen el diseño del muro de contención para evitar el colazo del encache.</v>
          </cell>
          <cell r="K28" t="str">
            <v>19.651576, -71.101738</v>
          </cell>
          <cell r="L28" t="str">
            <v>2N</v>
          </cell>
          <cell r="M28" t="str">
            <v>Jesús Ramón Núñez Mercado</v>
          </cell>
          <cell r="N28" t="str">
            <v>(809)852-8225</v>
          </cell>
          <cell r="P28" t="str">
            <v>2DO</v>
          </cell>
          <cell r="Q28">
            <v>0.03</v>
          </cell>
        </row>
        <row r="29">
          <cell r="H29" t="str">
            <v>Inaugurado</v>
          </cell>
          <cell r="I29">
            <v>0</v>
          </cell>
          <cell r="K29">
            <v>0</v>
          </cell>
          <cell r="L29">
            <v>0</v>
          </cell>
          <cell r="M29" t="str">
            <v>Franklin Ant. De Jesús Rodríguez</v>
          </cell>
          <cell r="P29" t="str">
            <v>1ER</v>
          </cell>
          <cell r="Q29">
            <v>1</v>
          </cell>
        </row>
        <row r="30">
          <cell r="H30" t="str">
            <v>Inaugurado</v>
          </cell>
          <cell r="I30">
            <v>0</v>
          </cell>
          <cell r="J30">
            <v>0</v>
          </cell>
          <cell r="K30">
            <v>0</v>
          </cell>
          <cell r="L30">
            <v>0</v>
          </cell>
          <cell r="M30" t="str">
            <v>Constructora Kissmee, CxA /M. Paulino</v>
          </cell>
          <cell r="P30" t="str">
            <v>1ER</v>
          </cell>
          <cell r="Q30">
            <v>1</v>
          </cell>
        </row>
        <row r="31">
          <cell r="H31" t="str">
            <v>Inaugurado</v>
          </cell>
          <cell r="J31">
            <v>0</v>
          </cell>
          <cell r="K31">
            <v>0</v>
          </cell>
          <cell r="L31">
            <v>0</v>
          </cell>
          <cell r="M31" t="str">
            <v>Yanery Altagracia Diaz Gomez</v>
          </cell>
          <cell r="N31" t="str">
            <v>(809)720-5113</v>
          </cell>
          <cell r="P31" t="str">
            <v>2DO</v>
          </cell>
          <cell r="Q31">
            <v>1</v>
          </cell>
        </row>
        <row r="32">
          <cell r="H32" t="str">
            <v>En Construcción</v>
          </cell>
          <cell r="J32" t="str">
            <v>CAIPI en construcción trabaja en la terminación y limpieza</v>
          </cell>
          <cell r="K32" t="str">
            <v>19.456746, -70.535895</v>
          </cell>
          <cell r="L32" t="str">
            <v>1N</v>
          </cell>
          <cell r="M32" t="str">
            <v>Ing. Luis Santo</v>
          </cell>
          <cell r="N32" t="str">
            <v>(809)753-9408</v>
          </cell>
          <cell r="P32" t="str">
            <v>2DO</v>
          </cell>
          <cell r="Q32">
            <v>0.82</v>
          </cell>
        </row>
        <row r="33">
          <cell r="H33" t="str">
            <v>Sin Iniciar</v>
          </cell>
          <cell r="I33" t="str">
            <v xml:space="preserve">Con Propuesta </v>
          </cell>
          <cell r="K33" t="str">
            <v>19.389552, -70.533163</v>
          </cell>
          <cell r="M33" t="str">
            <v>Ilso Virgilio Felipe Felipe Amezquita</v>
          </cell>
          <cell r="P33" t="str">
            <v>2DO</v>
          </cell>
          <cell r="Q33">
            <v>0</v>
          </cell>
        </row>
        <row r="34">
          <cell r="H34" t="str">
            <v>Detenido pago cubicación</v>
          </cell>
          <cell r="J34" t="str">
            <v>CAIPI detenido desde el 5 de Agosto por falta de pago de cubicación.</v>
          </cell>
          <cell r="K34" t="str">
            <v>19.634248, -70.281756</v>
          </cell>
          <cell r="L34" t="str">
            <v>2N</v>
          </cell>
          <cell r="M34" t="str">
            <v>José Ramón Cepín López</v>
          </cell>
          <cell r="N34" t="str">
            <v>(809)399-9090</v>
          </cell>
          <cell r="P34" t="str">
            <v>2DO</v>
          </cell>
          <cell r="Q34">
            <v>0.6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avance Mensual"/>
      <sheetName val="Matriz Mensual Gregory Perez"/>
      <sheetName val="Resumen Mensual Gregóry P Abr18"/>
      <sheetName val="Resumen Mensual Gregory P Mar19"/>
      <sheetName val="Resumen Mensual Gregory P ene19"/>
      <sheetName val="Resumen Mensual Gregory P oct18"/>
      <sheetName val="Resumen Mensual Gregory P Sep19"/>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Clarivel Adames ago. 20"/>
      <sheetName val="Resumen Mensual Clarivel Adames"/>
    </sheetNames>
    <sheetDataSet>
      <sheetData sheetId="0"/>
      <sheetData sheetId="1">
        <row r="10">
          <cell r="H10" t="str">
            <v>Inaugurado</v>
          </cell>
          <cell r="I10">
            <v>0</v>
          </cell>
          <cell r="J10">
            <v>0</v>
          </cell>
          <cell r="K10" t="str">
            <v>18.878156,-71.706987</v>
          </cell>
          <cell r="L10" t="str">
            <v>2N</v>
          </cell>
          <cell r="M10">
            <v>0</v>
          </cell>
          <cell r="N10">
            <v>0</v>
          </cell>
          <cell r="O10">
            <v>0</v>
          </cell>
          <cell r="P10" t="str">
            <v>1ER</v>
          </cell>
          <cell r="Q10">
            <v>1</v>
          </cell>
        </row>
        <row r="11">
          <cell r="H11" t="str">
            <v>Detenido pago cubicación</v>
          </cell>
          <cell r="I11">
            <v>0</v>
          </cell>
          <cell r="J11" t="str">
            <v>CAIPI detenido por cubicación. Se paralizo en el mes de septiembre 2020. Le falta pinturas de colores, las instalaciones de la lámpara, el área exterior, la jardinería completa, área de juegos, en plomería la instalación de lavamanos. espera pago de cubicación para terminar el CAIPI y entregarlo para su inauguración.</v>
          </cell>
          <cell r="K11" t="str">
            <v>18.7179610, -71.6970430</v>
          </cell>
          <cell r="L11" t="str">
            <v>2N</v>
          </cell>
          <cell r="M11" t="str">
            <v>Bicerici Const. SRL/Gabriel Abreu</v>
          </cell>
          <cell r="N11" t="str">
            <v>(809)886-0061</v>
          </cell>
          <cell r="O11" t="str">
            <v>gabrielabreuf@gmail.com</v>
          </cell>
          <cell r="P11" t="str">
            <v>2DO</v>
          </cell>
          <cell r="Q11">
            <v>0.95</v>
          </cell>
        </row>
        <row r="12">
          <cell r="H12" t="str">
            <v>Inaugurado</v>
          </cell>
          <cell r="I12">
            <v>0</v>
          </cell>
          <cell r="J12">
            <v>0</v>
          </cell>
          <cell r="K12" t="str">
            <v>18.807104,-71.250357</v>
          </cell>
          <cell r="L12" t="str">
            <v>1N</v>
          </cell>
          <cell r="M12">
            <v>0</v>
          </cell>
          <cell r="N12">
            <v>0</v>
          </cell>
          <cell r="O12">
            <v>0</v>
          </cell>
          <cell r="P12" t="str">
            <v>1ER</v>
          </cell>
          <cell r="Q12">
            <v>1</v>
          </cell>
        </row>
        <row r="13">
          <cell r="H13" t="str">
            <v>Inaugurado</v>
          </cell>
          <cell r="I13">
            <v>0</v>
          </cell>
          <cell r="J13">
            <v>0</v>
          </cell>
          <cell r="K13" t="str">
            <v>18.795283,-71.224238</v>
          </cell>
          <cell r="L13" t="str">
            <v>1N</v>
          </cell>
          <cell r="M13" t="str">
            <v>Roberto Meraldo Bautista</v>
          </cell>
          <cell r="N13" t="str">
            <v>809-667-1566</v>
          </cell>
          <cell r="O13" t="str">
            <v>ing.robertombautista@gmail.com</v>
          </cell>
          <cell r="P13" t="str">
            <v>1ER</v>
          </cell>
          <cell r="Q13">
            <v>1</v>
          </cell>
        </row>
        <row r="14">
          <cell r="H14" t="str">
            <v>Inaugurado</v>
          </cell>
          <cell r="I14">
            <v>0</v>
          </cell>
          <cell r="J14">
            <v>0</v>
          </cell>
          <cell r="K14" t="str">
            <v>18.8188416,-71.2358921</v>
          </cell>
          <cell r="L14" t="str">
            <v>2N</v>
          </cell>
          <cell r="M14">
            <v>0</v>
          </cell>
          <cell r="N14">
            <v>0</v>
          </cell>
          <cell r="O14">
            <v>0</v>
          </cell>
          <cell r="P14" t="str">
            <v>1ER</v>
          </cell>
          <cell r="Q14">
            <v>1</v>
          </cell>
        </row>
        <row r="15">
          <cell r="H15" t="str">
            <v>Detenido por planos</v>
          </cell>
          <cell r="I15">
            <v>0</v>
          </cell>
          <cell r="J15" t="str">
            <v>CAIPI detenido por plano. Está a la espera de que el MOPC le entregue los planos del rediseño que aprobaron para el muro de contención, le autorizaron a suplirse de piedra desde octubre 2019.</v>
          </cell>
          <cell r="K15" t="str">
            <v>18.806670, -71.218434</v>
          </cell>
          <cell r="L15" t="str">
            <v>1N</v>
          </cell>
          <cell r="M15" t="str">
            <v>Const. ROYSER SRL/Antonio A. Roa C.</v>
          </cell>
          <cell r="N15" t="str">
            <v>(809)756-8386, (809)907-7551</v>
          </cell>
          <cell r="O15" t="str">
            <v>cons_royser@hotmail.com</v>
          </cell>
          <cell r="P15" t="str">
            <v>2DO</v>
          </cell>
          <cell r="Q15">
            <v>0.06</v>
          </cell>
        </row>
        <row r="16">
          <cell r="H16" t="str">
            <v>Inaugurado</v>
          </cell>
          <cell r="I16">
            <v>0</v>
          </cell>
          <cell r="J16">
            <v>0</v>
          </cell>
          <cell r="K16" t="str">
            <v>18.878138, -71.517867</v>
          </cell>
          <cell r="L16" t="str">
            <v>2N</v>
          </cell>
          <cell r="M16">
            <v>0</v>
          </cell>
          <cell r="N16">
            <v>0</v>
          </cell>
          <cell r="O16">
            <v>0</v>
          </cell>
          <cell r="P16" t="str">
            <v>1ER</v>
          </cell>
          <cell r="Q16">
            <v>1</v>
          </cell>
        </row>
        <row r="17">
          <cell r="H17" t="str">
            <v>Detenido pago cubicación</v>
          </cell>
          <cell r="I17">
            <v>0</v>
          </cell>
          <cell r="J17" t="str">
            <v>CAIPI detenido por pago de cubicación. Está esperando el pago para comprar los hierros y aplicar la segunda mano de pintura, se paralizó desde el 21 de agosto 2020.</v>
          </cell>
          <cell r="K17" t="str">
            <v>18.8686300,-715094030</v>
          </cell>
          <cell r="L17" t="str">
            <v>2N</v>
          </cell>
          <cell r="M17" t="str">
            <v>Armando de Jesús Feliz Valdez</v>
          </cell>
          <cell r="N17" t="str">
            <v>(809)654-6852</v>
          </cell>
          <cell r="O17" t="str">
            <v>armandojfv@hotmail.com</v>
          </cell>
          <cell r="P17" t="str">
            <v>2DO</v>
          </cell>
          <cell r="Q17">
            <v>0.86</v>
          </cell>
        </row>
        <row r="18">
          <cell r="H18" t="str">
            <v>Inaugurado</v>
          </cell>
          <cell r="I18">
            <v>0</v>
          </cell>
          <cell r="J18">
            <v>0</v>
          </cell>
          <cell r="K18" t="str">
            <v>18.492309,-71.420036</v>
          </cell>
          <cell r="L18" t="str">
            <v>2N</v>
          </cell>
          <cell r="M18" t="str">
            <v>Tirson David Medina Medina</v>
          </cell>
          <cell r="N18" t="str">
            <v>809-696-2017</v>
          </cell>
          <cell r="O18" t="str">
            <v>ing.medina78@hotmail.com</v>
          </cell>
          <cell r="P18" t="str">
            <v>1ER</v>
          </cell>
          <cell r="Q18">
            <v>1</v>
          </cell>
        </row>
        <row r="19">
          <cell r="H19" t="str">
            <v>Detenido pago cubicación</v>
          </cell>
          <cell r="I19">
            <v>0</v>
          </cell>
          <cell r="J19" t="str">
            <v>CAIPI detenido por cubicación. Se quedó en la colocación de block en el segundo piso ya que esta esperando pago de cubicación. Paralizado en fecha 20 de septiembre 2020.</v>
          </cell>
          <cell r="K19" t="str">
            <v>18.4874830, -71.4156400</v>
          </cell>
          <cell r="L19">
            <v>0</v>
          </cell>
          <cell r="M19" t="str">
            <v>Ing. Mildred A. Hernández L</v>
          </cell>
          <cell r="N19" t="str">
            <v>829 448 4540</v>
          </cell>
          <cell r="O19" t="str">
            <v>milher0911@gmail.com</v>
          </cell>
          <cell r="P19" t="str">
            <v>2DO</v>
          </cell>
          <cell r="Q19">
            <v>0.45</v>
          </cell>
        </row>
        <row r="20">
          <cell r="H20" t="str">
            <v>Detenido pago cubicación</v>
          </cell>
          <cell r="I20">
            <v>0</v>
          </cell>
          <cell r="J20" t="str">
            <v xml:space="preserve">CAIPI detenido por cubicación. Se paralizo en septiembre 2020. Se encuentra en el pulido de pisos y colocación de hierros ya que le tiene pendiente pago de cubicación y no tiene recurso para continuar. </v>
          </cell>
          <cell r="K20" t="str">
            <v>18.5067490,-71.3370160</v>
          </cell>
          <cell r="L20" t="str">
            <v>1N</v>
          </cell>
          <cell r="M20" t="str">
            <v>KELGOMSA SRL/Joaquina Montero</v>
          </cell>
          <cell r="N20" t="str">
            <v>(829)552-8602</v>
          </cell>
          <cell r="O20" t="str">
            <v>woodysjimenez@gmail.com</v>
          </cell>
          <cell r="P20" t="str">
            <v>2DO</v>
          </cell>
          <cell r="Q20">
            <v>0.87</v>
          </cell>
        </row>
        <row r="21">
          <cell r="H21" t="str">
            <v>Detenido pago cubicación</v>
          </cell>
          <cell r="I21">
            <v>0</v>
          </cell>
          <cell r="J21" t="str">
            <v>AIPI detenido por cubicación. Se encuentra a nivel de encofrado de la losa de los módulos de cocina, lactante, de 1ª 2, 2 a 3 y caseta de cisterna, Solo esperando le paguen cubicación pendiente, detenido desde el 24 de junio 2020.</v>
          </cell>
          <cell r="K21" t="str">
            <v>18.492515,-71.481005</v>
          </cell>
          <cell r="L21" t="str">
            <v>1N</v>
          </cell>
          <cell r="M21" t="str">
            <v>Antonio De Oleo Rodríguez (Fallecido).
Nuevo Contratista: Renzo Cuevas</v>
          </cell>
          <cell r="N21" t="str">
            <v>809 224 5949</v>
          </cell>
          <cell r="O21">
            <v>0</v>
          </cell>
          <cell r="P21" t="str">
            <v>1ER</v>
          </cell>
          <cell r="Q21">
            <v>0.45</v>
          </cell>
        </row>
        <row r="22">
          <cell r="H22" t="str">
            <v>Inaugurado</v>
          </cell>
          <cell r="I22">
            <v>0</v>
          </cell>
          <cell r="J22">
            <v>0</v>
          </cell>
          <cell r="K22" t="str">
            <v>18.531413,-71.779258</v>
          </cell>
          <cell r="L22" t="str">
            <v>1N</v>
          </cell>
          <cell r="M22">
            <v>0</v>
          </cell>
          <cell r="N22">
            <v>0</v>
          </cell>
          <cell r="O22">
            <v>0</v>
          </cell>
          <cell r="P22" t="str">
            <v>1ER</v>
          </cell>
          <cell r="Q22">
            <v>1</v>
          </cell>
        </row>
        <row r="23">
          <cell r="H23" t="str">
            <v>Inaugurado</v>
          </cell>
          <cell r="I23">
            <v>0</v>
          </cell>
          <cell r="J23">
            <v>0</v>
          </cell>
          <cell r="K23" t="str">
            <v>18.4931650,-71.856789</v>
          </cell>
          <cell r="L23" t="str">
            <v>2N</v>
          </cell>
          <cell r="M23">
            <v>0</v>
          </cell>
          <cell r="N23">
            <v>0</v>
          </cell>
          <cell r="O23">
            <v>0</v>
          </cell>
          <cell r="P23" t="str">
            <v>1ER</v>
          </cell>
          <cell r="Q23">
            <v>1</v>
          </cell>
        </row>
        <row r="24">
          <cell r="H24" t="str">
            <v>En Construcción</v>
          </cell>
          <cell r="I24">
            <v>0</v>
          </cell>
          <cell r="J24" t="str">
            <v>CAIPI en construcción. Tienen la losa de entrepiso lista para vaciado solo esperan el turno de la hormigonera para el vaciado de la losa</v>
          </cell>
          <cell r="K24" t="str">
            <v>18.380918,-71.531626</v>
          </cell>
          <cell r="L24" t="str">
            <v>2N</v>
          </cell>
          <cell r="M24" t="str">
            <v>CONSTRUMAGNA SRL/Héctor Peña</v>
          </cell>
          <cell r="N24" t="str">
            <v>(809)958-5090</v>
          </cell>
          <cell r="O24" t="str">
            <v>construmagna@hotmail.com</v>
          </cell>
          <cell r="P24" t="str">
            <v>2DO</v>
          </cell>
          <cell r="Q24">
            <v>0.41</v>
          </cell>
        </row>
        <row r="25">
          <cell r="H25" t="str">
            <v>Detenido pago cubicación</v>
          </cell>
          <cell r="I25">
            <v>0</v>
          </cell>
          <cell r="J25" t="str">
            <v>CAIPI detenido por cubicación. Se detuvo en julio 2020, en el encofrado de las columnas del primer nivel y la rampa.</v>
          </cell>
          <cell r="K25" t="str">
            <v>18.575445,-71.728433</v>
          </cell>
          <cell r="L25" t="str">
            <v>2N</v>
          </cell>
          <cell r="M25" t="str">
            <v>MASYMAX MULTI SERV. SRL/Juan Jiménez</v>
          </cell>
          <cell r="N25" t="str">
            <v>(809) 619-8827</v>
          </cell>
          <cell r="O25">
            <v>0</v>
          </cell>
          <cell r="P25" t="str">
            <v>2DO</v>
          </cell>
          <cell r="Q25">
            <v>0.36</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Ángela Santana Sept 20"/>
      <sheetName val="Resumen Ángela Santana agost 20"/>
    </sheetNames>
    <sheetDataSet>
      <sheetData sheetId="0"/>
      <sheetData sheetId="1">
        <row r="10">
          <cell r="H10" t="str">
            <v>Inaugurado</v>
          </cell>
          <cell r="I10">
            <v>0</v>
          </cell>
          <cell r="J10">
            <v>0</v>
          </cell>
          <cell r="K10" t="str">
            <v>18.503905, -69.913558</v>
          </cell>
          <cell r="L10">
            <v>0</v>
          </cell>
          <cell r="M10" t="str">
            <v>Rocío Sugey Batista Cabrera</v>
          </cell>
          <cell r="N10" t="str">
            <v>829-723-3390</v>
          </cell>
          <cell r="O10" t="str">
            <v>Rocio_batista@hotmail.com</v>
          </cell>
          <cell r="P10" t="str">
            <v>1ER</v>
          </cell>
          <cell r="Q10">
            <v>1</v>
          </cell>
        </row>
        <row r="11">
          <cell r="H11" t="str">
            <v>Inaugurado</v>
          </cell>
          <cell r="I11">
            <v>0</v>
          </cell>
          <cell r="J11">
            <v>0</v>
          </cell>
          <cell r="K11" t="str">
            <v>18.518757, -69.986506</v>
          </cell>
          <cell r="L11">
            <v>0</v>
          </cell>
          <cell r="M11" t="str">
            <v>Carlos Ismael Hernández Rivera</v>
          </cell>
          <cell r="N11" t="str">
            <v>(809) 962-7120</v>
          </cell>
          <cell r="O11" t="str">
            <v>eferia@construtek.com</v>
          </cell>
          <cell r="P11" t="str">
            <v>1ER</v>
          </cell>
          <cell r="Q11">
            <v>1</v>
          </cell>
        </row>
        <row r="12">
          <cell r="H12" t="str">
            <v>Inaugurado</v>
          </cell>
          <cell r="I12">
            <v>0</v>
          </cell>
          <cell r="J12">
            <v>0</v>
          </cell>
          <cell r="K12" t="str">
            <v>18.4889635,-69.9675451</v>
          </cell>
          <cell r="L12">
            <v>0</v>
          </cell>
          <cell r="M12" t="str">
            <v>Represntanciones y Servicios Industriales WI, S.R.L.</v>
          </cell>
          <cell r="N12" t="str">
            <v>809-751-5890</v>
          </cell>
          <cell r="O12" t="str">
            <v>maggisanchez56@yahoo.es</v>
          </cell>
          <cell r="P12" t="str">
            <v>1ER</v>
          </cell>
          <cell r="Q12">
            <v>1</v>
          </cell>
        </row>
        <row r="13">
          <cell r="H13" t="str">
            <v>Sin Iniciar</v>
          </cell>
          <cell r="I13" t="str">
            <v xml:space="preserve">Sin Propuesta </v>
          </cell>
          <cell r="J13" t="str">
            <v>Se rescindió el contrato</v>
          </cell>
          <cell r="K13">
            <v>0</v>
          </cell>
          <cell r="L13">
            <v>0</v>
          </cell>
          <cell r="M13" t="str">
            <v>Construcciones y Tecnología SRL/Eudad Feria</v>
          </cell>
          <cell r="N13" t="str">
            <v>(809)697-2529</v>
          </cell>
          <cell r="O13" t="str">
            <v>eferia@construtek.com</v>
          </cell>
          <cell r="P13" t="str">
            <v>2DO</v>
          </cell>
          <cell r="Q13">
            <v>0</v>
          </cell>
        </row>
        <row r="14">
          <cell r="H14" t="str">
            <v>Sin Iniciar</v>
          </cell>
          <cell r="I14" t="str">
            <v xml:space="preserve">Sin Propuesta </v>
          </cell>
          <cell r="J14">
            <v>0</v>
          </cell>
          <cell r="K14">
            <v>0</v>
          </cell>
          <cell r="L14">
            <v>0</v>
          </cell>
          <cell r="M14" t="str">
            <v>Coart Arquitect, SRL / Claudia Caamaño</v>
          </cell>
          <cell r="N14" t="str">
            <v>809-227-6707 / 
809-729-7170</v>
          </cell>
          <cell r="O14" t="str">
            <v>claudiachalas@gmail.com</v>
          </cell>
          <cell r="P14" t="str">
            <v>1ER</v>
          </cell>
          <cell r="Q14">
            <v>0</v>
          </cell>
        </row>
        <row r="15">
          <cell r="H15" t="str">
            <v>Sin Iniciar</v>
          </cell>
          <cell r="I15" t="str">
            <v xml:space="preserve">Sin Propuesta </v>
          </cell>
          <cell r="J15">
            <v>0</v>
          </cell>
          <cell r="K15">
            <v>0</v>
          </cell>
          <cell r="L15">
            <v>0</v>
          </cell>
          <cell r="M15" t="str">
            <v>Johanny Estrella Rivera</v>
          </cell>
          <cell r="N15" t="str">
            <v>829-407-5745</v>
          </cell>
          <cell r="O15" t="str">
            <v>johanny_estrella@hotmail.com</v>
          </cell>
          <cell r="P15" t="str">
            <v>1ER</v>
          </cell>
          <cell r="Q15">
            <v>0</v>
          </cell>
        </row>
        <row r="16">
          <cell r="H16" t="str">
            <v>Sin Iniciar</v>
          </cell>
          <cell r="I16" t="str">
            <v xml:space="preserve">Sin Propuesta </v>
          </cell>
          <cell r="J16">
            <v>0</v>
          </cell>
          <cell r="K16">
            <v>0</v>
          </cell>
          <cell r="L16">
            <v>0</v>
          </cell>
          <cell r="M16" t="str">
            <v>Constructora Yeara SRL/Edwin Yeara</v>
          </cell>
          <cell r="N16" t="str">
            <v>(809)958-2629</v>
          </cell>
          <cell r="O16" t="str">
            <v>constructorayeara@gmail.com</v>
          </cell>
          <cell r="P16" t="str">
            <v>2DO</v>
          </cell>
          <cell r="Q16">
            <v>0</v>
          </cell>
        </row>
        <row r="17">
          <cell r="H17" t="str">
            <v>Detenido</v>
          </cell>
          <cell r="I17">
            <v>0</v>
          </cell>
          <cell r="J17" t="str">
            <v xml:space="preserve">CAIPI detenido. Aún en espera desde agosto del 2019, los resultados de una licitación que se haria para la adecuación del terreno debido al elevado costo del mismo y aún se mantiene en la misma situación.  Como se puede observar en las fotos el terreno se está tomando como vertedero del barrio. </v>
          </cell>
          <cell r="K17" t="str">
            <v>18.506004, -69.918172</v>
          </cell>
          <cell r="L17">
            <v>0</v>
          </cell>
          <cell r="M17" t="str">
            <v>Const. Serviterm, SRL / Ricardo Peña</v>
          </cell>
          <cell r="N17" t="str">
            <v>809-801-6676</v>
          </cell>
          <cell r="O17" t="str">
            <v>p.ricardo01@gmail.com</v>
          </cell>
          <cell r="P17" t="str">
            <v>1ER</v>
          </cell>
          <cell r="Q17">
            <v>0.05</v>
          </cell>
        </row>
        <row r="18">
          <cell r="H18" t="str">
            <v>Detenido</v>
          </cell>
          <cell r="I18">
            <v>0</v>
          </cell>
          <cell r="J18" t="str">
            <v xml:space="preserve">CAIPI detenido. Aún en espera desde agosto del año pasado, los resultados de una licitación que se hará para la adecuación del terreno debido al elevado costo del mismo y aún se mantiene en la misma situación.  El sector tiene el terreno como vertedero. </v>
          </cell>
          <cell r="K18" t="str">
            <v>18.506004, -69.918172</v>
          </cell>
          <cell r="L18">
            <v>0</v>
          </cell>
          <cell r="M18" t="str">
            <v>JFS Construcciones., SRL / José R. Santana</v>
          </cell>
          <cell r="N18" t="str">
            <v>829-604-4213</v>
          </cell>
          <cell r="O18" t="str">
            <v>josesantana2320@gmail.com</v>
          </cell>
          <cell r="P18" t="str">
            <v>1ER</v>
          </cell>
          <cell r="Q18">
            <v>0.05</v>
          </cell>
        </row>
        <row r="19">
          <cell r="H19" t="str">
            <v>Sin Iniciar</v>
          </cell>
          <cell r="I19" t="str">
            <v xml:space="preserve">Con Propuesta </v>
          </cell>
          <cell r="J19">
            <v>0</v>
          </cell>
          <cell r="K19">
            <v>0</v>
          </cell>
          <cell r="L19">
            <v>0</v>
          </cell>
          <cell r="M19" t="str">
            <v>Arq. Pérez &amp;  Pérez SRL/Miguel E. Pérez C.</v>
          </cell>
          <cell r="N19" t="str">
            <v>(809)977-8600</v>
          </cell>
          <cell r="O19" t="str">
            <v>dtodoterminaciones@gmail.com</v>
          </cell>
          <cell r="P19" t="str">
            <v>2DO</v>
          </cell>
          <cell r="Q19">
            <v>0</v>
          </cell>
        </row>
        <row r="20">
          <cell r="H20" t="str">
            <v>Detenido pago terreno</v>
          </cell>
          <cell r="I20">
            <v>0</v>
          </cell>
          <cell r="J20" t="str">
            <v>CAIPI detenida por pago de terreno. El propietario está renegociando los precios. La contratista realizó el levantamiento topográfico, aun no recibe el avance.    En el terreno se instaló un negocio. La Oficina de Gestión Inmobiliaria del MINERD le está dando seguimiento a este caso</v>
          </cell>
          <cell r="K20" t="str">
            <v>18.481941,-69.886833</v>
          </cell>
          <cell r="L20">
            <v>0</v>
          </cell>
          <cell r="M20" t="str">
            <v>Joeliz Mejía Gratereaux</v>
          </cell>
          <cell r="N20" t="str">
            <v>(829)308-9494</v>
          </cell>
          <cell r="O20" t="str">
            <v>joem16@gmail.com</v>
          </cell>
          <cell r="P20" t="str">
            <v>2DO</v>
          </cell>
          <cell r="Q20">
            <v>0</v>
          </cell>
        </row>
        <row r="21">
          <cell r="H21" t="str">
            <v>Detenido pago cubicación</v>
          </cell>
          <cell r="I21">
            <v>0</v>
          </cell>
          <cell r="J21" t="str">
            <v>CAIPI detenido. El contratista ya tiene el terreno listo y le fueron entregados los planos estructurales, el lunes 11 de noviembre 2019, pero aún no inicia con el replanteo, ya que el mismo está solicitando una actualización de precios antes de reiniciar los trabajos, aún espera respuesta.</v>
          </cell>
          <cell r="K21" t="str">
            <v>18.5139730,-69.9894940.</v>
          </cell>
          <cell r="L21" t="str">
            <v>2N</v>
          </cell>
          <cell r="M21" t="str">
            <v>Yunior Cifres Sánchez</v>
          </cell>
          <cell r="N21" t="str">
            <v>(829)689-1301</v>
          </cell>
          <cell r="O21" t="str">
            <v>j.cifres1975@gmail.com</v>
          </cell>
          <cell r="P21" t="str">
            <v>2DO</v>
          </cell>
          <cell r="Q21">
            <v>0.1</v>
          </cell>
        </row>
        <row r="22">
          <cell r="H22" t="str">
            <v>Detenido pago cubicación</v>
          </cell>
          <cell r="I22">
            <v>0</v>
          </cell>
          <cell r="J22" t="str">
            <v>CAIPI detenido por cubicación. Antes detenerse el contratista se encontraba realizando movimiento de tierra (relleno y compactación), espera pago de cubicación.</v>
          </cell>
          <cell r="K22" t="str">
            <v>18.5223460,-69.9865880</v>
          </cell>
          <cell r="L22" t="str">
            <v>2N</v>
          </cell>
          <cell r="M22" t="str">
            <v>Fabio Wilfredo Martínez Castro</v>
          </cell>
          <cell r="N22" t="str">
            <v>(809)988-2270</v>
          </cell>
          <cell r="O22" t="str">
            <v>martinezaquino24@gmail.com</v>
          </cell>
          <cell r="P22" t="str">
            <v>2DO</v>
          </cell>
          <cell r="Q22">
            <v>0.05</v>
          </cell>
        </row>
        <row r="23">
          <cell r="H23" t="str">
            <v>Detenido pago cubicación</v>
          </cell>
          <cell r="I23">
            <v>0</v>
          </cell>
          <cell r="J23" t="str">
            <v>CAIPI detenido por cubicación. Antes de detenerse trabajaba en colocación de block a nivel de dintel. Espera pago de cubicación.</v>
          </cell>
          <cell r="K23" t="str">
            <v>18.5063270,-69.9761660.</v>
          </cell>
          <cell r="L23">
            <v>0</v>
          </cell>
          <cell r="M23" t="str">
            <v>Const. ViMAENRO SRL/Víctor Encarnación</v>
          </cell>
          <cell r="N23" t="str">
            <v>(809)350-9784</v>
          </cell>
          <cell r="O23" t="str">
            <v>vencarnacion@vimaenro.com</v>
          </cell>
          <cell r="P23" t="str">
            <v>2DO</v>
          </cell>
          <cell r="Q23">
            <v>0.15</v>
          </cell>
        </row>
        <row r="24">
          <cell r="H24" t="str">
            <v>Sin Iniciar</v>
          </cell>
          <cell r="I24" t="str">
            <v xml:space="preserve">Negociado </v>
          </cell>
          <cell r="J24" t="str">
            <v>Se realizo el levantamiento topografico por la OGI, para confirmar que el terreno disponible fuese el necesario para el modelo de dos niveles.</v>
          </cell>
          <cell r="K24" t="str">
            <v>18.422578, -70.117246</v>
          </cell>
          <cell r="L24">
            <v>0</v>
          </cell>
          <cell r="M24" t="str">
            <v>Mildred Ivelisse Suero de los Santos</v>
          </cell>
          <cell r="N24" t="str">
            <v>(809)756-5683</v>
          </cell>
          <cell r="O24" t="str">
            <v>Mildred_suero@hotmail.com</v>
          </cell>
          <cell r="P24" t="str">
            <v>2DO</v>
          </cell>
          <cell r="Q24">
            <v>0</v>
          </cell>
        </row>
        <row r="25">
          <cell r="H25" t="str">
            <v>Inaugurado</v>
          </cell>
          <cell r="I25">
            <v>0</v>
          </cell>
          <cell r="J25">
            <v>0</v>
          </cell>
          <cell r="K25" t="str">
            <v>18.459512, -69.977838</v>
          </cell>
          <cell r="L25" t="str">
            <v>1N</v>
          </cell>
          <cell r="M25" t="str">
            <v>Miguel Ángel Carbonell Espinosa</v>
          </cell>
          <cell r="N25">
            <v>0</v>
          </cell>
          <cell r="O25">
            <v>0</v>
          </cell>
          <cell r="P25" t="str">
            <v>1ER</v>
          </cell>
          <cell r="Q25">
            <v>1</v>
          </cell>
        </row>
        <row r="26">
          <cell r="H26" t="str">
            <v>Inaugurado</v>
          </cell>
          <cell r="I26">
            <v>0</v>
          </cell>
          <cell r="J26">
            <v>0</v>
          </cell>
          <cell r="K26" t="str">
            <v>18.461222, -69.980048</v>
          </cell>
          <cell r="L26">
            <v>0</v>
          </cell>
          <cell r="M26" t="str">
            <v>Johanny Astrid Camilo Redondo</v>
          </cell>
          <cell r="N26">
            <v>0</v>
          </cell>
          <cell r="O26">
            <v>0</v>
          </cell>
          <cell r="P26" t="str">
            <v>1ER</v>
          </cell>
          <cell r="Q26">
            <v>1</v>
          </cell>
        </row>
        <row r="27">
          <cell r="H27" t="str">
            <v>Detenido pago cubicación</v>
          </cell>
          <cell r="I27">
            <v>0</v>
          </cell>
          <cell r="J27" t="str">
            <v>CAIPI detenido por cubicación, El contratista trabajo durante la cuarentena según el con las medidas de seguridad necesarias, hasta realizar el mejoramiento del terreno, mediante el relleno de granzote. Al contactarlo el 25 de mayo manifestó estar a espera del pago de cubicación pendiente y de que se le procese los trabajos de relleno, pues ya los recursos disponibles fueron agotados.</v>
          </cell>
          <cell r="K27" t="str">
            <v>18.463872,-69.998981</v>
          </cell>
          <cell r="L27">
            <v>0</v>
          </cell>
          <cell r="M27" t="str">
            <v>Ramón Francisco Castro Bello</v>
          </cell>
          <cell r="N27" t="str">
            <v>(829)750-1848</v>
          </cell>
          <cell r="O27" t="str">
            <v>rbello54@hotmail.com</v>
          </cell>
          <cell r="P27" t="str">
            <v>2DO</v>
          </cell>
          <cell r="Q27">
            <v>0.1</v>
          </cell>
        </row>
        <row r="28">
          <cell r="H28" t="str">
            <v>Sin Iniciar</v>
          </cell>
          <cell r="I28" t="str">
            <v xml:space="preserve">Negociado </v>
          </cell>
          <cell r="J28">
            <v>0</v>
          </cell>
          <cell r="K28">
            <v>0</v>
          </cell>
          <cell r="L28">
            <v>0</v>
          </cell>
          <cell r="M28" t="str">
            <v>Manuel de Jesús Peña Salazar</v>
          </cell>
          <cell r="N28" t="str">
            <v>(809)995-0969</v>
          </cell>
          <cell r="O28" t="str">
            <v>leunam22244@hotmail.com</v>
          </cell>
          <cell r="P28" t="str">
            <v>2DO</v>
          </cell>
          <cell r="Q28">
            <v>0</v>
          </cell>
        </row>
        <row r="29">
          <cell r="H29" t="str">
            <v>Sin Iniciar</v>
          </cell>
          <cell r="I29" t="str">
            <v xml:space="preserve">Negociado </v>
          </cell>
          <cell r="J29">
            <v>0</v>
          </cell>
          <cell r="K29">
            <v>0</v>
          </cell>
          <cell r="L29">
            <v>0</v>
          </cell>
          <cell r="M29" t="str">
            <v>Roy Sido Hawley</v>
          </cell>
          <cell r="N29" t="str">
            <v>(809)885-7436</v>
          </cell>
          <cell r="O29" t="str">
            <v>ingsidohawli@gmail.com</v>
          </cell>
          <cell r="P29" t="str">
            <v>2DO</v>
          </cell>
          <cell r="Q29">
            <v>0</v>
          </cell>
        </row>
        <row r="30">
          <cell r="H30" t="str">
            <v>Detenido</v>
          </cell>
          <cell r="I30">
            <v>0</v>
          </cell>
          <cell r="J30" t="str">
            <v>CAIPI detenido. El contratista se encontraba trabajando en el relleno del terreno. Se detuvo el viernes 20 abril luego del anuncio del inicio de la cuarentena y por dificultad de despacho del material en las minas. Aún sigue detenido.</v>
          </cell>
          <cell r="K30">
            <v>0</v>
          </cell>
          <cell r="L30">
            <v>0</v>
          </cell>
          <cell r="M30" t="str">
            <v>Juan Daniel Pérez Ramirez</v>
          </cell>
          <cell r="N30" t="str">
            <v>(809)716-8313</v>
          </cell>
          <cell r="O30" t="str">
            <v>ing.perezramirez@hotmail.com</v>
          </cell>
          <cell r="P30" t="str">
            <v>2DO</v>
          </cell>
          <cell r="Q30">
            <v>0.05</v>
          </cell>
        </row>
        <row r="31">
          <cell r="H31" t="str">
            <v>Sin Iniciar</v>
          </cell>
          <cell r="I31" t="str">
            <v xml:space="preserve">Negociado </v>
          </cell>
          <cell r="J31">
            <v>0</v>
          </cell>
          <cell r="K31" t="str">
            <v>18.469833, 
-69.987236</v>
          </cell>
          <cell r="L31">
            <v>0</v>
          </cell>
          <cell r="M31" t="str">
            <v>Aristides Manuel Rubio Sánchez</v>
          </cell>
          <cell r="N31" t="str">
            <v>(809)986-3172</v>
          </cell>
          <cell r="O31" t="str">
            <v>td.rubio@gmail.com</v>
          </cell>
          <cell r="P31" t="str">
            <v>2DO</v>
          </cell>
          <cell r="Q31">
            <v>0</v>
          </cell>
        </row>
        <row r="32">
          <cell r="H32" t="str">
            <v>Inaugurado</v>
          </cell>
          <cell r="I32">
            <v>0</v>
          </cell>
          <cell r="J32">
            <v>0</v>
          </cell>
          <cell r="K32" t="str">
            <v>18.428473,-70.116536</v>
          </cell>
          <cell r="L32">
            <v>0</v>
          </cell>
          <cell r="M32" t="str">
            <v>Diseño, Instalación, Construcción y Servicios CxA / e. Messina</v>
          </cell>
          <cell r="N32">
            <v>0</v>
          </cell>
          <cell r="O32">
            <v>0</v>
          </cell>
          <cell r="P32" t="str">
            <v>1ER</v>
          </cell>
          <cell r="Q32">
            <v>1</v>
          </cell>
        </row>
        <row r="33">
          <cell r="H33" t="str">
            <v>Detenido</v>
          </cell>
          <cell r="I33">
            <v>0</v>
          </cell>
          <cell r="J33" t="str">
            <v>CAIPI detenido.  La construcción aún no ha iniciado debido a que no se ha podido realizar el desalojo de la mejora que está dentro del terreno.</v>
          </cell>
          <cell r="K33" t="str">
            <v>18.421083, -70.110541</v>
          </cell>
          <cell r="L33">
            <v>0</v>
          </cell>
          <cell r="M33" t="str">
            <v>Rafael Nicolás Alcántara Sánchez</v>
          </cell>
          <cell r="N33" t="str">
            <v>809-710-8634</v>
          </cell>
          <cell r="O33" t="str">
            <v>alcantara.1995@hotmail.com</v>
          </cell>
          <cell r="P33" t="str">
            <v>1ER</v>
          </cell>
          <cell r="Q33">
            <v>0</v>
          </cell>
        </row>
        <row r="34">
          <cell r="H34" t="str">
            <v>Sin Iniciar</v>
          </cell>
          <cell r="I34" t="str">
            <v xml:space="preserve">Sin Propuesta </v>
          </cell>
          <cell r="J34">
            <v>0</v>
          </cell>
          <cell r="K34" t="str">
            <v>18.4080950,-70.1073530</v>
          </cell>
          <cell r="L34">
            <v>0</v>
          </cell>
          <cell r="M34" t="str">
            <v>Maria Altagracia del C. Mariano Tejeda</v>
          </cell>
          <cell r="N34" t="str">
            <v>(809)848-2254</v>
          </cell>
          <cell r="O34" t="str">
            <v>zajorycodia@yahoo.es</v>
          </cell>
          <cell r="P34" t="str">
            <v>2DO</v>
          </cell>
          <cell r="Q34">
            <v>0</v>
          </cell>
        </row>
        <row r="35">
          <cell r="H35" t="str">
            <v>En Construcción</v>
          </cell>
          <cell r="I35">
            <v>0</v>
          </cell>
          <cell r="J35" t="str">
            <v xml:space="preserve">CAIPI en construccion. el contratista reinicio recientemente con  los trabajos de movimiento de tierra y está cerrando para continuar con la construccion de la veja perimetral , luego de 2 años de procesos. </v>
          </cell>
          <cell r="K35" t="str">
            <v>18.424850, -70.098430</v>
          </cell>
          <cell r="L35" t="str">
            <v>1N</v>
          </cell>
          <cell r="M35" t="str">
            <v>GPF Group SRL/Edwar Ravelo</v>
          </cell>
          <cell r="N35" t="str">
            <v>(809)769-6900</v>
          </cell>
          <cell r="O35" t="str">
            <v>gpfgroup23@gmail.com</v>
          </cell>
          <cell r="P35" t="str">
            <v>2DO</v>
          </cell>
          <cell r="Q35">
            <v>0.04</v>
          </cell>
        </row>
        <row r="36">
          <cell r="H36" t="str">
            <v>Detenido pago cubicación</v>
          </cell>
          <cell r="I36">
            <v>0</v>
          </cell>
          <cell r="J36" t="str">
            <v xml:space="preserve">CAIPI detenido por pago de cubicacion.  El contratista está a nivel de vigas y dinteles,  trabajo el acero para las columnas, rampas y en la colocacion de bloques pero se detuvo por pago. </v>
          </cell>
          <cell r="K36" t="str">
            <v>18.402878,-70.126762</v>
          </cell>
          <cell r="L36" t="str">
            <v>1N</v>
          </cell>
          <cell r="M36" t="str">
            <v>Mirquiades Figuereo Beltré</v>
          </cell>
          <cell r="N36" t="str">
            <v>(829)810-1542</v>
          </cell>
          <cell r="O36" t="str">
            <v>fybserviceingenieria@hotmail.com</v>
          </cell>
          <cell r="P36" t="str">
            <v>2DO</v>
          </cell>
          <cell r="Q36">
            <v>0.15</v>
          </cell>
        </row>
        <row r="37">
          <cell r="H37" t="str">
            <v>Detenido pago cubicación</v>
          </cell>
          <cell r="I37">
            <v>0</v>
          </cell>
          <cell r="J37" t="str">
            <v>CAIPI detenido por pago de cubicación.  CAIPI es etapa de terminación final con primera manos de pintura de colores, el mismo está en espera de pago para poder darle los toque finales.</v>
          </cell>
          <cell r="K37" t="str">
            <v>18.428360, -70.028854</v>
          </cell>
          <cell r="L37" t="str">
            <v>2N</v>
          </cell>
          <cell r="M37" t="str">
            <v xml:space="preserve">Miguel Serrano Segura.  </v>
          </cell>
          <cell r="N37">
            <v>0</v>
          </cell>
          <cell r="O37" t="str">
            <v>rosasuper2001@hotmail.com</v>
          </cell>
          <cell r="P37" t="str">
            <v>1ER</v>
          </cell>
          <cell r="Q37">
            <v>0.85</v>
          </cell>
        </row>
        <row r="38">
          <cell r="H38" t="str">
            <v>Sin Iniciar</v>
          </cell>
          <cell r="I38" t="str">
            <v xml:space="preserve">Sin Propuesta </v>
          </cell>
          <cell r="J38">
            <v>0</v>
          </cell>
          <cell r="K38">
            <v>0</v>
          </cell>
          <cell r="L38" t="str">
            <v>1N</v>
          </cell>
          <cell r="M38" t="str">
            <v>Constructora E. y V., SRL/Amarilis Valeyron</v>
          </cell>
          <cell r="N38" t="str">
            <v>(809)696-7697</v>
          </cell>
          <cell r="O38" t="str">
            <v>amarilisvaleyron@gmail.com</v>
          </cell>
          <cell r="P38" t="str">
            <v>2DO</v>
          </cell>
          <cell r="Q38">
            <v>0</v>
          </cell>
        </row>
        <row r="39">
          <cell r="H39" t="str">
            <v>Inaugurado</v>
          </cell>
          <cell r="I39">
            <v>0</v>
          </cell>
          <cell r="J39">
            <v>0</v>
          </cell>
          <cell r="K39" t="str">
            <v>18.415954, -70.041211</v>
          </cell>
          <cell r="L39" t="str">
            <v>2N</v>
          </cell>
          <cell r="M39" t="str">
            <v>Marilú Figueroa Medina</v>
          </cell>
          <cell r="N39">
            <v>0</v>
          </cell>
          <cell r="O39">
            <v>0</v>
          </cell>
          <cell r="P39" t="str">
            <v>1ER</v>
          </cell>
          <cell r="Q39">
            <v>1</v>
          </cell>
        </row>
        <row r="40">
          <cell r="H40" t="str">
            <v>Detenido por planos</v>
          </cell>
          <cell r="I40">
            <v>0</v>
          </cell>
          <cell r="J40" t="str">
            <v xml:space="preserve">CAIPI detenido por planos.  La contratista, está  en espera de la aprobación del diseño de unos muros de contención.
</v>
          </cell>
          <cell r="K40" t="str">
            <v>18.383850,-70.046436</v>
          </cell>
          <cell r="L40">
            <v>0</v>
          </cell>
          <cell r="M40" t="str">
            <v>Rosa Margarita Sánchez Ortega</v>
          </cell>
          <cell r="N40" t="str">
            <v>809-751-5890</v>
          </cell>
          <cell r="O40">
            <v>0</v>
          </cell>
          <cell r="P40" t="str">
            <v>1ER</v>
          </cell>
          <cell r="Q40">
            <v>0.05</v>
          </cell>
        </row>
        <row r="41">
          <cell r="H41" t="str">
            <v>Sin Iniciar</v>
          </cell>
          <cell r="I41" t="str">
            <v xml:space="preserve">Sin Propuesta </v>
          </cell>
          <cell r="J41" t="str">
            <v xml:space="preserve"> Este terreno acaba de ser desestimado por la inversión en el mejoramiento del suelo.</v>
          </cell>
          <cell r="K41" t="str">
            <v>18.378662,-70.053200</v>
          </cell>
          <cell r="L41">
            <v>0</v>
          </cell>
          <cell r="M41" t="str">
            <v>Octavio Rhadames Rodríguez García</v>
          </cell>
          <cell r="N41" t="str">
            <v>(809)889-7993</v>
          </cell>
          <cell r="O41" t="str">
            <v>oroga@hotmail.com</v>
          </cell>
          <cell r="P41" t="str">
            <v>2DO</v>
          </cell>
          <cell r="Q41">
            <v>0</v>
          </cell>
        </row>
        <row r="42">
          <cell r="H42" t="str">
            <v>Detenido pago cubicación</v>
          </cell>
          <cell r="I42">
            <v>0</v>
          </cell>
          <cell r="J42" t="str">
            <v xml:space="preserve">CAIPI detenido por cubicación. Tiene todo el edificio pañetado, espera pago de cubicación.  </v>
          </cell>
          <cell r="K42" t="str">
            <v>18.683603,-70.174370</v>
          </cell>
          <cell r="L42" t="str">
            <v>2N</v>
          </cell>
          <cell r="M42" t="str">
            <v>Jacinto José Fernández Matos</v>
          </cell>
          <cell r="N42">
            <v>8095495388</v>
          </cell>
          <cell r="O42" t="str">
            <v>jacintofernandezmatos@gmail.com</v>
          </cell>
          <cell r="P42" t="str">
            <v>1ER</v>
          </cell>
          <cell r="Q42">
            <v>0.55000000000000004</v>
          </cell>
        </row>
        <row r="43">
          <cell r="H43" t="str">
            <v>Inaugurado</v>
          </cell>
          <cell r="I43">
            <v>0</v>
          </cell>
          <cell r="J43" t="str">
            <v>CAIPI INAGURADO EL 12 DE Agosto 2019.</v>
          </cell>
          <cell r="K43" t="str">
            <v>18.674578,-70,173434</v>
          </cell>
          <cell r="L43" t="str">
            <v>2N</v>
          </cell>
          <cell r="M43" t="str">
            <v>BIOHIT SRL/Alex Guzmán</v>
          </cell>
          <cell r="N43" t="str">
            <v>(809)981-7575</v>
          </cell>
          <cell r="O43" t="str">
            <v>biohit@claro.net.do</v>
          </cell>
          <cell r="P43" t="str">
            <v>2DO</v>
          </cell>
          <cell r="Q43">
            <v>1</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Génesis Sept 20"/>
      <sheetName val="Matriz Mensual Génesis Agosto 2"/>
    </sheetNames>
    <sheetDataSet>
      <sheetData sheetId="0"/>
      <sheetData sheetId="1">
        <row r="10">
          <cell r="H10" t="str">
            <v>Inaugurado</v>
          </cell>
          <cell r="I10">
            <v>0</v>
          </cell>
          <cell r="J10">
            <v>0</v>
          </cell>
          <cell r="K10">
            <v>0</v>
          </cell>
          <cell r="L10" t="str">
            <v>1N</v>
          </cell>
          <cell r="M10" t="str">
            <v>Edwin Rafael Contreras</v>
          </cell>
          <cell r="N10">
            <v>0</v>
          </cell>
          <cell r="O10">
            <v>0</v>
          </cell>
          <cell r="P10" t="str">
            <v>1ER</v>
          </cell>
          <cell r="Q10">
            <v>1</v>
          </cell>
        </row>
        <row r="11">
          <cell r="H11" t="str">
            <v>Detenido pago cubicación</v>
          </cell>
          <cell r="I11">
            <v>0</v>
          </cell>
          <cell r="J11" t="str">
            <v>CAIPI detenido por cubicación. Se encuentra con avance de todas las losas de techo del 2do. nivel vaciada, inicio colocación de arrastre de tuberías eléctricas y sanitarias del primer nivel para vaciar chapapote, Además tiene vaciado el techo de la caseta de la cisterna, la verja perimetral terminada, excepto del área frontal. La supervisión tiene conocimiento de la última modificación de planos de la cocina requerida por el INAIPI. Espera pago cubicación desde principio de junio 2020.</v>
          </cell>
          <cell r="K11" t="str">
            <v>18.461432, -69.606982</v>
          </cell>
          <cell r="L11" t="str">
            <v>2N</v>
          </cell>
          <cell r="M11" t="str">
            <v>Humberto A. Castillo T./Luz Claribel Bautista</v>
          </cell>
          <cell r="N11" t="str">
            <v>(849)816-0410</v>
          </cell>
          <cell r="O11" t="str">
            <v>lclaribel2004@yahoo.com</v>
          </cell>
          <cell r="P11" t="str">
            <v>2DO</v>
          </cell>
          <cell r="Q11">
            <v>0.52</v>
          </cell>
        </row>
        <row r="12">
          <cell r="H12" t="str">
            <v>Sin Iniciar</v>
          </cell>
          <cell r="I12" t="str">
            <v xml:space="preserve">Con Propuesta </v>
          </cell>
          <cell r="J12">
            <v>0</v>
          </cell>
          <cell r="K12">
            <v>0</v>
          </cell>
          <cell r="L12">
            <v>0</v>
          </cell>
          <cell r="M12" t="str">
            <v>Luis Manuel Polanco Batista</v>
          </cell>
          <cell r="N12" t="str">
            <v>(809)981-6395</v>
          </cell>
          <cell r="O12" t="str">
            <v>luispolanco96@hotmail.com</v>
          </cell>
          <cell r="P12" t="str">
            <v>2DO</v>
          </cell>
          <cell r="Q12">
            <v>0</v>
          </cell>
        </row>
        <row r="13">
          <cell r="H13" t="str">
            <v>Detenido pago cubicación</v>
          </cell>
          <cell r="I13">
            <v>0</v>
          </cell>
          <cell r="J13" t="str">
            <v xml:space="preserve">CAIPI detenido por cubicación. Están a la espera del pago de las cubicaciones pendientes, la cula  se encuentra en el departamento de financiero del MINERD. Tiene otra en circuito que se pagará por la linea de credito vigente. Se encuentra Antes de detenerse trabajó en acondicionamiento del areas exterior. Tiene la modificación de la cocina de acuerdo con los requerimientos del INAIPI. </v>
          </cell>
          <cell r="K13" t="str">
            <v>18.468031, -69.698168</v>
          </cell>
          <cell r="L13" t="str">
            <v>2N</v>
          </cell>
          <cell r="M13" t="str">
            <v>Judith Cruz Garcia</v>
          </cell>
          <cell r="N13" t="str">
            <v>(809)756-1912</v>
          </cell>
          <cell r="O13" t="str">
            <v>judithcruz21@hotmail.com</v>
          </cell>
          <cell r="P13" t="str">
            <v>2DO</v>
          </cell>
          <cell r="Q13">
            <v>0.62</v>
          </cell>
        </row>
        <row r="14">
          <cell r="H14" t="str">
            <v>Detenido</v>
          </cell>
          <cell r="I14">
            <v>0</v>
          </cell>
          <cell r="J14" t="str">
            <v>CAIPI detenido. Contratista sin dinero y sin cubicación pendiente. La supervisión del MOPC para trabajar, tiene previsto reunión con la coordinación de la supervisión nos informó que esta contratista está en estado con saldo negativo. Está en fase final de terminación, solo falta algunos detalles de retoques de pinturas final, colocación de algunos aparatos sanitarios que tiene en sito, colocación del tanque de gas, transformador eléctrico y la terminación de las modificaciones de la cocina, según lo requerimiento del INAIPI. Se colocó puerta en altura para mantenimiento a la azotea.</v>
          </cell>
          <cell r="K14" t="str">
            <v>18.451404, -69.675114</v>
          </cell>
          <cell r="L14" t="str">
            <v>2N</v>
          </cell>
          <cell r="M14" t="str">
            <v>Carolina Garcia Garcia</v>
          </cell>
          <cell r="N14" t="str">
            <v>(809)657-9845</v>
          </cell>
          <cell r="O14" t="str">
            <v>garciacarolina14@gmail.com</v>
          </cell>
          <cell r="P14" t="str">
            <v>2DO</v>
          </cell>
          <cell r="Q14">
            <v>0.94</v>
          </cell>
        </row>
        <row r="15">
          <cell r="H15" t="str">
            <v>Inaugurado</v>
          </cell>
          <cell r="I15">
            <v>0</v>
          </cell>
          <cell r="J15" t="str">
            <v>Inaugurado el dia 3 de julio 2019</v>
          </cell>
          <cell r="K15" t="str">
            <v>18.453369,-69.641528</v>
          </cell>
          <cell r="L15" t="str">
            <v>1N</v>
          </cell>
          <cell r="M15" t="str">
            <v>Cristina Francisca Feliz Cuevas</v>
          </cell>
          <cell r="N15" t="str">
            <v>(829)281-9660</v>
          </cell>
          <cell r="O15" t="str">
            <v>ing_0930@hotmail.com</v>
          </cell>
          <cell r="P15" t="str">
            <v>2DO</v>
          </cell>
          <cell r="Q15">
            <v>1</v>
          </cell>
        </row>
        <row r="16">
          <cell r="H16" t="str">
            <v>Sin Iniciar</v>
          </cell>
          <cell r="I16" t="str">
            <v xml:space="preserve">Con Propuesta de Donación </v>
          </cell>
          <cell r="J16">
            <v>0</v>
          </cell>
          <cell r="K16">
            <v>0</v>
          </cell>
          <cell r="L16">
            <v>0</v>
          </cell>
          <cell r="M16" t="str">
            <v>Cristóbal Portorreal</v>
          </cell>
          <cell r="N16" t="str">
            <v>(829)418-8106</v>
          </cell>
          <cell r="O16" t="str">
            <v>cristopher_3abc4@hotmail.com</v>
          </cell>
          <cell r="P16" t="str">
            <v>2DO</v>
          </cell>
          <cell r="Q16">
            <v>0</v>
          </cell>
        </row>
        <row r="17">
          <cell r="H17" t="str">
            <v>Inaugurado</v>
          </cell>
          <cell r="I17">
            <v>0</v>
          </cell>
          <cell r="J17" t="str">
            <v>CAIPI inaugurado el 27 julio 2020.</v>
          </cell>
          <cell r="K17" t="str">
            <v>18.472955, -69.790158</v>
          </cell>
          <cell r="L17" t="str">
            <v>1N</v>
          </cell>
          <cell r="M17" t="str">
            <v>Zenen Javier Mora</v>
          </cell>
          <cell r="N17" t="str">
            <v>809-417-1560</v>
          </cell>
          <cell r="O17" t="str">
            <v>javielmora23@hotmail.com</v>
          </cell>
          <cell r="P17" t="str">
            <v>1ER</v>
          </cell>
          <cell r="Q17">
            <v>1</v>
          </cell>
        </row>
        <row r="18">
          <cell r="H18" t="str">
            <v>Inaugurado</v>
          </cell>
          <cell r="I18">
            <v>0</v>
          </cell>
          <cell r="J18">
            <v>0</v>
          </cell>
          <cell r="K18" t="str">
            <v>18.472000, -69.857794</v>
          </cell>
          <cell r="L18">
            <v>0</v>
          </cell>
          <cell r="M18" t="str">
            <v>Yanyris Domínguez Montás</v>
          </cell>
          <cell r="N18" t="str">
            <v>(829)662-4488</v>
          </cell>
          <cell r="O18">
            <v>0</v>
          </cell>
          <cell r="P18" t="str">
            <v>1ER</v>
          </cell>
          <cell r="Q18">
            <v>1</v>
          </cell>
        </row>
        <row r="19">
          <cell r="H19" t="str">
            <v>Detenido</v>
          </cell>
          <cell r="I19">
            <v>0</v>
          </cell>
          <cell r="J19" t="str">
            <v>CAIPI detenido. El contratista recibió pago durante la pandemia y la autorización de muro AB Wall (Suelo Reforzado), sin embargo, debido a la diferencia de preció solicitó al MOPC una revisión de dicho muro, la cual espera repuesta. A la fecha solo ha realizado el pozo de agua y movimiento de tierra. Tiene planos del CAIPI. Tiene programado reiniciar los trabajos a principio de octubre 2020.</v>
          </cell>
          <cell r="K19" t="str">
            <v>18.476534, -69.872851</v>
          </cell>
          <cell r="L19" t="str">
            <v>1N</v>
          </cell>
          <cell r="M19" t="str">
            <v>Delvinson Julian Mosquea Jorge</v>
          </cell>
          <cell r="N19" t="str">
            <v>(809)443-3887</v>
          </cell>
          <cell r="O19" t="str">
            <v>delvinson2007@gmail.com</v>
          </cell>
          <cell r="P19" t="str">
            <v>2DO</v>
          </cell>
          <cell r="Q19">
            <v>0.06</v>
          </cell>
        </row>
        <row r="20">
          <cell r="H20" t="str">
            <v>Detenido pago cubicación</v>
          </cell>
          <cell r="I20">
            <v>0</v>
          </cell>
          <cell r="J20" t="str">
            <v>CAIPI detenido por pago de cubicación. El pago de la cubicación se encuentra en el departamento financiero del MINERD. Se Realizó el proceso de movimiento de tierra, relleno y compactación, Espera pago de cubicación desde febrero 2020.</v>
          </cell>
          <cell r="K20" t="str">
            <v>18.478408, -69.843590</v>
          </cell>
          <cell r="L20" t="str">
            <v>2N</v>
          </cell>
          <cell r="M20" t="str">
            <v>Judith Emilia Labata del Pozo</v>
          </cell>
          <cell r="N20" t="str">
            <v>809-850-1400</v>
          </cell>
          <cell r="O20" t="str">
            <v>inglabata22@gmail.com</v>
          </cell>
          <cell r="P20" t="str">
            <v>2DO</v>
          </cell>
          <cell r="Q20">
            <v>0.06</v>
          </cell>
        </row>
        <row r="21">
          <cell r="H21" t="str">
            <v>Inaugurado</v>
          </cell>
          <cell r="I21">
            <v>0</v>
          </cell>
          <cell r="J21">
            <v>0</v>
          </cell>
          <cell r="K21">
            <v>0</v>
          </cell>
          <cell r="L21" t="str">
            <v>1N</v>
          </cell>
          <cell r="M21" t="str">
            <v>Pedro Bienvenido Sosa Hernández</v>
          </cell>
          <cell r="N21">
            <v>0</v>
          </cell>
          <cell r="O21" t="str">
            <v>celeon24@gmail.com</v>
          </cell>
          <cell r="P21" t="str">
            <v>1ER</v>
          </cell>
          <cell r="Q21">
            <v>1</v>
          </cell>
        </row>
        <row r="22">
          <cell r="H22" t="str">
            <v>Detenido</v>
          </cell>
          <cell r="I22">
            <v>0</v>
          </cell>
          <cell r="J22" t="str">
            <v xml:space="preserve">CAIPI detenido desde julio 2019. La OISOE le trazó un cronograma de actividades y le autorizó línea de crédito, la cual no hizo el proceso de papeleo para su renovación. La contratista está apática a asumir su compromiso de terminar el CAIPI, se le ha emplazado varias veces por su bajos rendimiento y por su falta interés en realizar los trabajos. La OISOE notificó a la contratista a través del MINERD para rescindir el contrato. Lo último ejecutado fue el vaciado la casona, viga del multiuso y pasarela, pañete en los módulos de lactante, 2 a 3, 1 a 2 y cocina. Está pendiente visita conjunta (OISOE-INAIPI-DIGEPEP-MINERD) para las modificaciones de la cocina, acordado en reunión con la Dirección de OISOE. </v>
          </cell>
          <cell r="K22" t="str">
            <v>18.493687, -69.750482</v>
          </cell>
          <cell r="L22" t="str">
            <v>1N</v>
          </cell>
          <cell r="M22" t="str">
            <v>Daysis Bienvenida Santos Cabrera</v>
          </cell>
          <cell r="N22" t="str">
            <v>(849)860-2472</v>
          </cell>
          <cell r="O22" t="str">
            <v>daysis-santos@hotmail.com</v>
          </cell>
          <cell r="P22" t="str">
            <v>1ER</v>
          </cell>
          <cell r="Q22">
            <v>0.54</v>
          </cell>
        </row>
        <row r="23">
          <cell r="H23" t="str">
            <v>Inaugurado</v>
          </cell>
          <cell r="I23">
            <v>0</v>
          </cell>
          <cell r="J23" t="str">
            <v>CAIPI inagurado el 7 de noviembre 2019 .  La supervisión está pendiente realizar el hueco del extractor de la cocina y contenes, aceras y pavimentación de la calle frontal.</v>
          </cell>
          <cell r="K23" t="str">
            <v>18.507116, -69.746212</v>
          </cell>
          <cell r="L23" t="str">
            <v>1N</v>
          </cell>
          <cell r="M23" t="str">
            <v>Cía. de León y Asoc., SRL /C. E. de León</v>
          </cell>
          <cell r="N23">
            <v>0</v>
          </cell>
          <cell r="O23" t="str">
            <v>marthadesanchez@gmail.com</v>
          </cell>
          <cell r="P23" t="str">
            <v>1ER</v>
          </cell>
          <cell r="Q23">
            <v>1</v>
          </cell>
        </row>
        <row r="24">
          <cell r="H24" t="str">
            <v>Detenido pago cubicación</v>
          </cell>
          <cell r="I24">
            <v>0</v>
          </cell>
          <cell r="J24" t="str">
            <v>CAIPI detenido por cubicación. Antes detenerse realizó el vaciado de zapata del edificio, vació piso de la cisterna de 8000gls. Tiene pendiente de pago 2 cubicaciones una de ella desde febrero 2020.</v>
          </cell>
          <cell r="K24" t="str">
            <v>18.491478,-69.875372</v>
          </cell>
          <cell r="L24" t="str">
            <v>2N</v>
          </cell>
          <cell r="M24" t="str">
            <v>Banesa Howley de Oleo</v>
          </cell>
          <cell r="N24" t="str">
            <v>(809)330-8592</v>
          </cell>
          <cell r="O24" t="str">
            <v>arq.banesahowley@hotmail.com</v>
          </cell>
          <cell r="P24" t="str">
            <v>2DO</v>
          </cell>
          <cell r="Q24">
            <v>0.15</v>
          </cell>
        </row>
        <row r="25">
          <cell r="H25" t="str">
            <v>En Construcción</v>
          </cell>
          <cell r="I25">
            <v>0</v>
          </cell>
          <cell r="J25" t="str">
            <v xml:space="preserve">CAIPI en construcción.  Continua con el interior del primero y segundo nivel, está realizando fino de techo. Además, está colocando piso en el primer nivel la cual está en un 80%. Así como la colocación las tuberías de desagüe en el área de la cocina. </v>
          </cell>
          <cell r="K25" t="str">
            <v>18.497185, -69.856260</v>
          </cell>
          <cell r="L25" t="str">
            <v>2N</v>
          </cell>
          <cell r="M25" t="str">
            <v>Matha Beatriz Acosta del Rosario</v>
          </cell>
          <cell r="N25">
            <v>0</v>
          </cell>
          <cell r="O25">
            <v>0</v>
          </cell>
          <cell r="P25" t="str">
            <v>2DO</v>
          </cell>
          <cell r="Q25">
            <v>0.6</v>
          </cell>
        </row>
        <row r="26">
          <cell r="H26" t="str">
            <v>Detenido</v>
          </cell>
          <cell r="I26">
            <v>0</v>
          </cell>
          <cell r="J26" t="str">
            <v>CAIPI detenido. Antes de esta emergencia sanitaria (por Coronavirus) se encontraba después de 3 años en espera de planos, reinició los trabajos con la excavación de la verja perimetral sin embargo no tiene mucho interés por que dice que los precios no cudran.  espera del pago de una cubicacion</v>
          </cell>
          <cell r="K26" t="str">
            <v>18.502302, -69.814532</v>
          </cell>
          <cell r="L26" t="str">
            <v>1N</v>
          </cell>
          <cell r="M26" t="str">
            <v>EDCONSA SRL/Reynaldo Jover</v>
          </cell>
          <cell r="N26" t="str">
            <v>(829)340-9379</v>
          </cell>
          <cell r="O26" t="str">
            <v>joel@edconsa.com</v>
          </cell>
          <cell r="P26" t="str">
            <v>2DO</v>
          </cell>
          <cell r="Q26">
            <v>0.06</v>
          </cell>
        </row>
        <row r="27">
          <cell r="H27" t="str">
            <v>Detenido pago cubicación</v>
          </cell>
          <cell r="I27">
            <v>0</v>
          </cell>
          <cell r="J27" t="str">
            <v xml:space="preserve">CAIPI detenido por cubicación. Antes de detenerse se encontraba realizando trabajos colocando pisos faltantes en la pasarela entre los módulos 2-3 y lactante, realizó los arrastres sanitarios, eléctricos y pinturas finales en un 85%, tiene parte importa del relleno del patio posterior. tiene pendiente cubicación desde febrero 2020. Se espera la modificación en la cocina requerida por el INAIPI. </v>
          </cell>
          <cell r="K27" t="str">
            <v>18.508012, -69.873256</v>
          </cell>
          <cell r="L27" t="str">
            <v>1N</v>
          </cell>
          <cell r="M27" t="str">
            <v>Cecilia Evelin Estrella González</v>
          </cell>
          <cell r="N27" t="str">
            <v>(829)372-6881</v>
          </cell>
          <cell r="O27" t="str">
            <v>evelinestrella@hotmail.com</v>
          </cell>
          <cell r="P27" t="str">
            <v>1ER</v>
          </cell>
          <cell r="Q27">
            <v>0.83</v>
          </cell>
        </row>
        <row r="28">
          <cell r="H28" t="str">
            <v>Inaugurado</v>
          </cell>
          <cell r="I28">
            <v>0</v>
          </cell>
          <cell r="J28" t="str">
            <v>CAIPI inaugurado el 27 julio 2020,</v>
          </cell>
          <cell r="K28" t="str">
            <v>18.510085, -69.859510</v>
          </cell>
          <cell r="L28" t="str">
            <v>2N</v>
          </cell>
          <cell r="M28" t="str">
            <v>Felix Alexander Herrera Mora</v>
          </cell>
          <cell r="N28" t="str">
            <v>(809)603-8909</v>
          </cell>
          <cell r="O28" t="str">
            <v>felixherrera09@hotmail.com</v>
          </cell>
          <cell r="P28" t="str">
            <v>2DO</v>
          </cell>
          <cell r="Q28">
            <v>1</v>
          </cell>
        </row>
        <row r="29">
          <cell r="H29" t="str">
            <v>Detenido por planos</v>
          </cell>
          <cell r="I29">
            <v>0</v>
          </cell>
          <cell r="J29" t="str">
            <v>CAIPI detenido por planos. Entregó el sondeo al MOPC a mediado de mayo 2019. El lunes 27 de enero 2020 se realizó el levantamiento para el diseño hidráulico. Se espera que diseño concluya la solución hidráulica y rediseño del CAIPI y la escuela.</v>
          </cell>
          <cell r="K29" t="str">
            <v>18.518065, -69.857823</v>
          </cell>
          <cell r="L29" t="str">
            <v>2N</v>
          </cell>
          <cell r="M29" t="str">
            <v>Yoanna Matos Hernandez</v>
          </cell>
          <cell r="N29" t="str">
            <v>(809)299-4146</v>
          </cell>
          <cell r="O29" t="str">
            <v>yoannamatos01@gmail.com</v>
          </cell>
          <cell r="P29" t="str">
            <v>2DO</v>
          </cell>
          <cell r="Q29">
            <v>0</v>
          </cell>
        </row>
        <row r="30">
          <cell r="H30" t="str">
            <v>Inaugurado</v>
          </cell>
          <cell r="I30">
            <v>0</v>
          </cell>
          <cell r="J30">
            <v>0</v>
          </cell>
          <cell r="K30" t="str">
            <v>18.515916, -69.879927</v>
          </cell>
          <cell r="L30" t="str">
            <v>1N</v>
          </cell>
          <cell r="M30" t="str">
            <v>Antonio Alexis Méndez Herasme</v>
          </cell>
          <cell r="N30">
            <v>0</v>
          </cell>
          <cell r="O30">
            <v>0</v>
          </cell>
          <cell r="P30" t="str">
            <v>1ER</v>
          </cell>
          <cell r="Q30">
            <v>1</v>
          </cell>
        </row>
        <row r="31">
          <cell r="H31" t="str">
            <v>Sin Iniciar</v>
          </cell>
          <cell r="I31" t="str">
            <v xml:space="preserve">Sin Propuesta </v>
          </cell>
          <cell r="J31" t="str">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ell>
          <cell r="K31" t="str">
            <v>18.517436, -69.890352</v>
          </cell>
          <cell r="L31" t="str">
            <v>2N</v>
          </cell>
          <cell r="M31" t="str">
            <v>Julian Javier Molina Pilarte</v>
          </cell>
          <cell r="N31" t="str">
            <v>(829)599-4496</v>
          </cell>
          <cell r="O31" t="str">
            <v>jmolina@ucsd.edu.do</v>
          </cell>
          <cell r="P31" t="str">
            <v>2DO</v>
          </cell>
          <cell r="Q31">
            <v>0</v>
          </cell>
        </row>
        <row r="32">
          <cell r="H32" t="str">
            <v>Sin Iniciar</v>
          </cell>
          <cell r="I32" t="str">
            <v xml:space="preserve">Sin Propuesta </v>
          </cell>
          <cell r="J32" t="str">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ell>
          <cell r="K32" t="str">
            <v>18.517436, -69.890352</v>
          </cell>
          <cell r="L32" t="str">
            <v>2N</v>
          </cell>
          <cell r="M32" t="str">
            <v>Wilson Miguel Burgos Mercado</v>
          </cell>
          <cell r="N32" t="str">
            <v>(809)693-3811</v>
          </cell>
          <cell r="O32" t="str">
            <v>wilsonburgos01@hotmail.com</v>
          </cell>
          <cell r="P32" t="str">
            <v>2DO</v>
          </cell>
          <cell r="Q32">
            <v>0</v>
          </cell>
        </row>
        <row r="33">
          <cell r="H33" t="str">
            <v>Detenido pago terreno</v>
          </cell>
          <cell r="I33">
            <v>0</v>
          </cell>
          <cell r="J33" t="str">
            <v>CAIPI detenido por pago del terreno. Entregó sondeos al MOPC en la semana del 8 de octubre 2018. Espera elaboración planos de fundación y pago del terreno luego que fue reintroducido la compra de este solar.</v>
          </cell>
          <cell r="K33" t="str">
            <v>18.47964179, -69.8087374</v>
          </cell>
          <cell r="L33" t="str">
            <v>2N</v>
          </cell>
          <cell r="M33" t="str">
            <v>Rafael Leonardo Medrano Medina</v>
          </cell>
          <cell r="N33" t="str">
            <v>(829)299-3904</v>
          </cell>
          <cell r="O33" t="str">
            <v>numerico2011@hotmail.com</v>
          </cell>
          <cell r="P33" t="str">
            <v>2DO</v>
          </cell>
          <cell r="Q33">
            <v>0</v>
          </cell>
        </row>
        <row r="34">
          <cell r="H34" t="str">
            <v>Detenido</v>
          </cell>
          <cell r="I34">
            <v>0</v>
          </cell>
          <cell r="J34" t="str">
            <v>CAIPI detenido. Este contratista fue posesionado el 16 de julio 2019, se realizó el levantamiento topográfico y se entregó al MOPC. Se colocó la valla. Está a la espera del avance para iniciar los trabajos.</v>
          </cell>
          <cell r="K34" t="str">
            <v>18.525384, -69.7648880</v>
          </cell>
          <cell r="L34" t="str">
            <v>1N</v>
          </cell>
          <cell r="M34" t="str">
            <v>Constructora DNW SRL/Franklin del Rio Rojas</v>
          </cell>
          <cell r="N34" t="str">
            <v>(809)501-9512</v>
          </cell>
          <cell r="O34" t="str">
            <v>fdelrio@pimpina.com.do</v>
          </cell>
          <cell r="P34" t="str">
            <v>2DO</v>
          </cell>
          <cell r="Q34">
            <v>0</v>
          </cell>
        </row>
        <row r="35">
          <cell r="H35" t="str">
            <v>Inaugurado</v>
          </cell>
          <cell r="I35">
            <v>0</v>
          </cell>
          <cell r="J35">
            <v>0</v>
          </cell>
          <cell r="K35" t="str">
            <v>18.523695,-69.815829</v>
          </cell>
          <cell r="L35" t="str">
            <v>1N</v>
          </cell>
          <cell r="M35" t="str">
            <v>Gustavo Enríque Castillo Dimayo</v>
          </cell>
          <cell r="N35">
            <v>0</v>
          </cell>
          <cell r="O35">
            <v>0</v>
          </cell>
          <cell r="P35" t="str">
            <v>1ER</v>
          </cell>
          <cell r="Q35">
            <v>1</v>
          </cell>
        </row>
        <row r="36">
          <cell r="H36" t="str">
            <v>Detenido</v>
          </cell>
          <cell r="I36">
            <v>0</v>
          </cell>
          <cell r="J36" t="str">
            <v>CAIPI detenido.  Finalizó con los trabajos de alto relieve. Antes de paralizarse trabajaba en la colocación de pisos, escalones y cerámica en el primer nivel y segundo nivel, revestimiento en paredes en el área de la cocina. A pesar de haber recibido un pago de cubicación en el mes de junio 2020 los trabajos lo realiza avance muy mínimo</v>
          </cell>
          <cell r="K36" t="str">
            <v>18.507450,-69.807843</v>
          </cell>
          <cell r="L36" t="str">
            <v>2N</v>
          </cell>
          <cell r="M36" t="str">
            <v>Mart Const. SRL/Braulio de J. Martinez T.</v>
          </cell>
          <cell r="N36" t="str">
            <v>(809)974-0855</v>
          </cell>
          <cell r="O36" t="str">
            <v>ingbrauliomartinez@gmail.com</v>
          </cell>
          <cell r="P36" t="str">
            <v>2DO</v>
          </cell>
          <cell r="Q36">
            <v>0.71</v>
          </cell>
        </row>
        <row r="37">
          <cell r="H37" t="str">
            <v>Detenido pago cubicación</v>
          </cell>
          <cell r="I37">
            <v>0</v>
          </cell>
          <cell r="J37" t="str">
            <v xml:space="preserve">CAIPI detenida por cubicación.  Despues de finalizar  el vaciado de la casona se  detuvo por falta de dinero, Realizó el vaciado de hormigón de la losa, dinteles y vigas de amarre del modulo casona. Todos los demas módulo estan a nivel de viga. Tiene caseta de cisterna a nivel de viga, colocó verja provisional de zinc hasta que sean aprobados los muros de verja sometidos al MINERD. La supervisión tiene conocimiento de las modificaciones de la cocina. </v>
          </cell>
          <cell r="K37" t="str">
            <v>18.536980, -69.817217</v>
          </cell>
          <cell r="L37" t="str">
            <v>1N</v>
          </cell>
          <cell r="M37" t="str">
            <v>Maria del Rosario Santana Diaz</v>
          </cell>
          <cell r="N37" t="str">
            <v>(829)904-0785</v>
          </cell>
          <cell r="O37" t="str">
            <v>meriyeni2009@hotmail.com</v>
          </cell>
          <cell r="P37" t="str">
            <v>2DO</v>
          </cell>
          <cell r="Q37">
            <v>0.27</v>
          </cell>
        </row>
        <row r="38">
          <cell r="H38" t="str">
            <v>Inaugurado</v>
          </cell>
          <cell r="I38">
            <v>0</v>
          </cell>
          <cell r="J38" t="str">
            <v>Inaugurado</v>
          </cell>
          <cell r="K38" t="str">
            <v>18.512704,-69.813000</v>
          </cell>
          <cell r="L38" t="str">
            <v>1N</v>
          </cell>
          <cell r="M38" t="str">
            <v>Rafael Antonio Cifres Sanchez/Junior Cifres</v>
          </cell>
          <cell r="N38" t="str">
            <v>(829)689-1301</v>
          </cell>
          <cell r="O38" t="str">
            <v>cifres4@hotmail.com</v>
          </cell>
          <cell r="P38" t="str">
            <v>2DO</v>
          </cell>
          <cell r="Q38">
            <v>1</v>
          </cell>
        </row>
        <row r="39">
          <cell r="H39" t="str">
            <v>En Construcción</v>
          </cell>
          <cell r="I39">
            <v>0</v>
          </cell>
          <cell r="J39" t="str">
            <v>CAIPI en construcción. Continuación de los trabajos de pañete de techo y muros exteriores. colocación de pisos pintura base a un 80% en el segundo nivel.  Instalación de las verjas de hierro en el perímetro en la segunda planta.  Sometió el pago de la cubicación no. 9 al MOPC.</v>
          </cell>
          <cell r="K39" t="str">
            <v>18.533742, -69.826769</v>
          </cell>
          <cell r="L39" t="str">
            <v>2N</v>
          </cell>
          <cell r="M39" t="str">
            <v>Jean Dave Sánchez Vizcaino</v>
          </cell>
          <cell r="N39" t="str">
            <v>(809)984-9940</v>
          </cell>
          <cell r="O39" t="str">
            <v>jeandave777@gmail.com</v>
          </cell>
          <cell r="P39" t="str">
            <v>2DO</v>
          </cell>
          <cell r="Q39">
            <v>0.65</v>
          </cell>
        </row>
        <row r="40">
          <cell r="H40" t="str">
            <v>Inaugurado</v>
          </cell>
          <cell r="I40">
            <v>0</v>
          </cell>
          <cell r="J40" t="str">
            <v>Inaugurado.</v>
          </cell>
          <cell r="K40" t="str">
            <v>18.520373,-69.837515</v>
          </cell>
          <cell r="L40" t="str">
            <v>2N</v>
          </cell>
          <cell r="M40" t="str">
            <v>Felipe Abreu Rosario</v>
          </cell>
          <cell r="N40" t="str">
            <v>(849)752-1016</v>
          </cell>
          <cell r="O40" t="str">
            <v>abreurosario1@hotmail.com</v>
          </cell>
          <cell r="P40" t="str">
            <v>2DO</v>
          </cell>
          <cell r="Q40">
            <v>1</v>
          </cell>
        </row>
        <row r="41">
          <cell r="H41" t="str">
            <v>Detenido por planos</v>
          </cell>
          <cell r="I41">
            <v>0</v>
          </cell>
          <cell r="J41" t="str">
            <v>CAIPI detenido por plano. Está aún a la espera de la visita del Ing. Pichardo y el Ing. Persio Díaz para nuevo diseño debido a que se redujo la cantidad de terreno.  Realizó parte del movimiento de terreno y tiene pendiente colocar la valla.</v>
          </cell>
          <cell r="K41" t="str">
            <v>18.530065, -69.839741</v>
          </cell>
          <cell r="L41" t="str">
            <v>1N</v>
          </cell>
          <cell r="M41" t="str">
            <v>Jimenez Monegro &amp; Asoc./Pedro Jimenez</v>
          </cell>
          <cell r="N41" t="str">
            <v>(809)224-4131</v>
          </cell>
          <cell r="O41">
            <v>0</v>
          </cell>
          <cell r="P41" t="str">
            <v>2DO</v>
          </cell>
          <cell r="Q41">
            <v>0.03</v>
          </cell>
        </row>
        <row r="42">
          <cell r="H42" t="str">
            <v>Inaugurado</v>
          </cell>
          <cell r="I42">
            <v>0</v>
          </cell>
          <cell r="J42" t="str">
            <v>CAIPI inaugurado el 27 julio 2020,</v>
          </cell>
          <cell r="K42" t="str">
            <v>18.506204, -69.858619</v>
          </cell>
          <cell r="L42" t="str">
            <v>2N</v>
          </cell>
          <cell r="M42" t="str">
            <v>Jhonny Terc Mejia</v>
          </cell>
          <cell r="N42" t="str">
            <v>(809)350-7209</v>
          </cell>
          <cell r="O42" t="str">
            <v>jterc@hotmail.com</v>
          </cell>
          <cell r="P42" t="str">
            <v>2DO</v>
          </cell>
          <cell r="Q42">
            <v>1</v>
          </cell>
        </row>
        <row r="43">
          <cell r="H43" t="str">
            <v>Inaugurado</v>
          </cell>
          <cell r="I43">
            <v>0</v>
          </cell>
          <cell r="J43" t="str">
            <v xml:space="preserve">CAIPI Inaugurado. Se realizó una visita previa a su inauguración con la Arq. Luz por parte del INAIPI el 11 de agosto para la pre-recepción (la misma había sido pospuesta) de este centro. Se  le hicieron observaciones al contratista con el propósito a corregir, algunas de ellas fueron reiteradas. </v>
          </cell>
          <cell r="K43" t="str">
            <v>18.505519, -69.858152</v>
          </cell>
          <cell r="L43" t="str">
            <v>2N</v>
          </cell>
          <cell r="M43" t="str">
            <v>Fanny Anacaona Carrasco Socías</v>
          </cell>
          <cell r="N43" t="str">
            <v>(809)440-5302</v>
          </cell>
          <cell r="O43" t="str">
            <v>fannycarrascosocias@hotmail.com</v>
          </cell>
          <cell r="P43" t="str">
            <v>2DO</v>
          </cell>
          <cell r="Q43">
            <v>1</v>
          </cell>
        </row>
        <row r="44">
          <cell r="H44" t="str">
            <v>Sin Iniciar</v>
          </cell>
          <cell r="I44" t="str">
            <v xml:space="preserve">Con Propuesta de Donación </v>
          </cell>
          <cell r="J44">
            <v>0</v>
          </cell>
          <cell r="K44">
            <v>0</v>
          </cell>
          <cell r="L44">
            <v>0</v>
          </cell>
          <cell r="M44" t="str">
            <v>SOLVIA SRL/Jose German Polanco</v>
          </cell>
          <cell r="N44" t="str">
            <v>(809)284-4992</v>
          </cell>
          <cell r="O44" t="str">
            <v>jgpolanco@gmail.com</v>
          </cell>
          <cell r="P44" t="str">
            <v>2DO</v>
          </cell>
          <cell r="Q44">
            <v>0</v>
          </cell>
        </row>
        <row r="45">
          <cell r="H45" t="str">
            <v>Sin Iniciar</v>
          </cell>
          <cell r="I45" t="str">
            <v xml:space="preserve">Con Propuesta </v>
          </cell>
          <cell r="J45">
            <v>0</v>
          </cell>
          <cell r="K45">
            <v>0</v>
          </cell>
          <cell r="L45">
            <v>0</v>
          </cell>
          <cell r="M45" t="str">
            <v>Fanny Violeta Altagracia Guerrero Cedeño</v>
          </cell>
          <cell r="N45" t="str">
            <v>(809)224-3373</v>
          </cell>
          <cell r="O45" t="str">
            <v>fannyguerrero26@hotmail.com</v>
          </cell>
          <cell r="P45" t="str">
            <v>2DO</v>
          </cell>
          <cell r="Q45">
            <v>0</v>
          </cell>
        </row>
        <row r="46">
          <cell r="H46" t="str">
            <v>Sin Iniciar</v>
          </cell>
          <cell r="I46" t="str">
            <v xml:space="preserve">Sin Propuesta </v>
          </cell>
          <cell r="J46">
            <v>0</v>
          </cell>
          <cell r="K46">
            <v>0</v>
          </cell>
          <cell r="L46">
            <v>0</v>
          </cell>
          <cell r="M46" t="str">
            <v>Andrés Roberto Pérez Cadena</v>
          </cell>
          <cell r="N46" t="str">
            <v>(809)333-6656</v>
          </cell>
          <cell r="O46" t="str">
            <v>anrope45@hotmail.com</v>
          </cell>
          <cell r="P46" t="str">
            <v>2DO</v>
          </cell>
          <cell r="Q46">
            <v>0</v>
          </cell>
        </row>
        <row r="47">
          <cell r="H47" t="str">
            <v>Sin Iniciar</v>
          </cell>
          <cell r="I47" t="str">
            <v xml:space="preserve">Sin Propuesta </v>
          </cell>
          <cell r="J47">
            <v>0</v>
          </cell>
          <cell r="K47">
            <v>0</v>
          </cell>
          <cell r="L47">
            <v>0</v>
          </cell>
          <cell r="M47" t="str">
            <v>Jose Miguel Santana Valdez</v>
          </cell>
          <cell r="N47" t="str">
            <v>(809)803-1056</v>
          </cell>
          <cell r="O47" t="str">
            <v>sanvalarquitectura@gmail.com</v>
          </cell>
          <cell r="P47" t="str">
            <v>2DO</v>
          </cell>
          <cell r="Q47">
            <v>0</v>
          </cell>
        </row>
        <row r="48">
          <cell r="H48" t="str">
            <v>Sin Iniciar</v>
          </cell>
          <cell r="I48" t="str">
            <v xml:space="preserve">Con Propuesta </v>
          </cell>
          <cell r="J48">
            <v>0</v>
          </cell>
          <cell r="K48">
            <v>0</v>
          </cell>
          <cell r="L48">
            <v>0</v>
          </cell>
          <cell r="M48" t="str">
            <v>Pablo José Espinal Madera</v>
          </cell>
          <cell r="N48" t="str">
            <v>(809)330-4085</v>
          </cell>
          <cell r="O48" t="str">
            <v>pablomadera@gmail.com</v>
          </cell>
          <cell r="P48" t="str">
            <v>2DO</v>
          </cell>
          <cell r="Q48">
            <v>0</v>
          </cell>
        </row>
        <row r="49">
          <cell r="H49" t="str">
            <v>Sin Iniciar</v>
          </cell>
          <cell r="I49" t="str">
            <v xml:space="preserve">Con Propuesta de Donación </v>
          </cell>
          <cell r="J49">
            <v>0</v>
          </cell>
          <cell r="K49">
            <v>0</v>
          </cell>
          <cell r="L49">
            <v>0</v>
          </cell>
          <cell r="M49" t="str">
            <v>Hnos. Yaryura, Arq. &amp; Ing.</v>
          </cell>
          <cell r="N49" t="str">
            <v>809-537-2524 / 
809-440-1572</v>
          </cell>
          <cell r="O49" t="str">
            <v>hamidyaryura@peypac.com.do</v>
          </cell>
          <cell r="P49" t="str">
            <v>1ER</v>
          </cell>
          <cell r="Q49">
            <v>0</v>
          </cell>
        </row>
        <row r="50">
          <cell r="H50" t="str">
            <v>En Construcción</v>
          </cell>
          <cell r="I50">
            <v>0</v>
          </cell>
          <cell r="J50" t="str">
            <v>CAIPI en construcción. Realizó movimiento de tierra, a inicio de octubre 2020 iniciará con el replanteo de la verja perimetral. Está pendiente por parte de la supervisión rectificación de la volumetría del movimiento de tierra.</v>
          </cell>
          <cell r="K50" t="str">
            <v>18.552064, -69.711553</v>
          </cell>
          <cell r="L50" t="str">
            <v>2N</v>
          </cell>
          <cell r="M50" t="str">
            <v>Maria Elena Vargas</v>
          </cell>
          <cell r="N50" t="str">
            <v>(809)848-6639</v>
          </cell>
          <cell r="O50" t="str">
            <v>mariep.vargas@hotmail.com</v>
          </cell>
          <cell r="P50" t="str">
            <v>2DO</v>
          </cell>
          <cell r="Q50">
            <v>0.04</v>
          </cell>
        </row>
        <row r="51">
          <cell r="H51" t="str">
            <v>Inaugurado</v>
          </cell>
          <cell r="I51">
            <v>0</v>
          </cell>
          <cell r="J51">
            <v>0</v>
          </cell>
          <cell r="K51">
            <v>0</v>
          </cell>
          <cell r="L51" t="str">
            <v>1N</v>
          </cell>
          <cell r="M51" t="str">
            <v>Harlem Ramón Thomas Troncoso</v>
          </cell>
          <cell r="N51">
            <v>0</v>
          </cell>
          <cell r="O51">
            <v>0</v>
          </cell>
          <cell r="P51" t="str">
            <v>1ER</v>
          </cell>
          <cell r="Q51">
            <v>1</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Magdalena M. Sept 2020"/>
      <sheetName val="Resumen Magdalena M. Agost 2020"/>
    </sheetNames>
    <sheetDataSet>
      <sheetData sheetId="0"/>
      <sheetData sheetId="1">
        <row r="10">
          <cell r="H10" t="str">
            <v>Inaugurado</v>
          </cell>
          <cell r="I10">
            <v>0</v>
          </cell>
          <cell r="J10" t="str">
            <v>Inaugurado</v>
          </cell>
          <cell r="K10">
            <v>0</v>
          </cell>
          <cell r="L10">
            <v>0</v>
          </cell>
          <cell r="M10" t="str">
            <v>Robert W. Cuevas Labour</v>
          </cell>
          <cell r="N10">
            <v>0</v>
          </cell>
          <cell r="O10">
            <v>0</v>
          </cell>
          <cell r="P10" t="str">
            <v>1ER</v>
          </cell>
          <cell r="Q10">
            <v>1</v>
          </cell>
        </row>
        <row r="11">
          <cell r="H11" t="str">
            <v>Detenido pago cubicación</v>
          </cell>
          <cell r="I11">
            <v>0</v>
          </cell>
          <cell r="J11" t="str">
            <v xml:space="preserve">CAIPI detenido. Presenta avances en la preparación de hierros, de barandas, el pulimento de pisos, los pozos, entre otros. El contratista solicitó los planos de área exterior (paisajismo) y espera línea de crédito aprobada. Están pendientes los trabajos de correcciones de observaciones realizadas por DIGEPEP y los técnicos de   INAIPI, en visita realizada   en octubre 2019, con relación a las modificaciones de la cocina y en el módulo de lactancia, de acuerdo con los requerimientos del INAIPI.
</v>
          </cell>
          <cell r="K11" t="str">
            <v>18.542279, -69.993321</v>
          </cell>
          <cell r="L11" t="str">
            <v>1N</v>
          </cell>
          <cell r="M11" t="str">
            <v>Pedro José Rodríguez Moris</v>
          </cell>
          <cell r="N11">
            <v>0</v>
          </cell>
          <cell r="O11" t="str">
            <v>pedrojoserodriguezmoris@hotmail.com</v>
          </cell>
          <cell r="P11" t="str">
            <v>2DO</v>
          </cell>
          <cell r="Q11">
            <v>0.75</v>
          </cell>
        </row>
        <row r="12">
          <cell r="H12" t="str">
            <v>Detenido pago terreno</v>
          </cell>
          <cell r="I12">
            <v>0</v>
          </cell>
          <cell r="J12" t="str">
            <v>CAIPI detenido por terreno (más de 3 años). El proceso de este CAIPI continúa sin resolver la situación de pago de terreno. En la última semana del mes de mayo del 2019, fue realizada una visita por los técnicos de OISOE y MINERD; la misma fue objetada por el propietario del terreno, exigiendo el saldo la adquisición de este. Actualmente se observa un letrero colocado en la parte frontal del terreno, donde indica que está en proceso de   deslinde.</v>
          </cell>
          <cell r="K12" t="str">
            <v>18.511152, -70.03469118</v>
          </cell>
          <cell r="L12" t="str">
            <v>1N</v>
          </cell>
          <cell r="M12" t="str">
            <v>Rafael Odalis Quezada Sánchez / Carlos Bautista</v>
          </cell>
          <cell r="N12">
            <v>0</v>
          </cell>
          <cell r="O12" t="str">
            <v>alcantara.1995@hotmail.com</v>
          </cell>
          <cell r="P12" t="str">
            <v>1ER</v>
          </cell>
          <cell r="Q12">
            <v>0.14000000000000001</v>
          </cell>
        </row>
        <row r="13">
          <cell r="H13" t="str">
            <v>Detenido pago terreno</v>
          </cell>
          <cell r="I13">
            <v>0</v>
          </cell>
          <cell r="J13" t="str">
            <v>CAIPI detenido hace más de 4 años por compra de terreno adicional, el cual está ubicado en la parte posterior, por lo que no se pudo continuar con el proceso constructivo, al Sr. Nicodemo se le pagó el terreno en cuestión, sin embargo, el MINERD le concedió 60 días para mudarse, la cual han concluidos. En otro sentido, el propietario del primer terreno afirma que aún no se le ha concluido el pago, (vive al lado del CAIPI). Iniciaron  limpieza del proyecto.</v>
          </cell>
          <cell r="K13" t="str">
            <v>18.519952, -70.044515</v>
          </cell>
          <cell r="L13" t="str">
            <v>1N</v>
          </cell>
          <cell r="M13" t="str">
            <v>Elika María Contreras Alvarado/Juan Carlos Rodríguez</v>
          </cell>
          <cell r="N13">
            <v>0</v>
          </cell>
          <cell r="O13">
            <v>0</v>
          </cell>
          <cell r="P13" t="str">
            <v>1ER</v>
          </cell>
          <cell r="Q13">
            <v>0.21</v>
          </cell>
        </row>
        <row r="14">
          <cell r="H14" t="str">
            <v>Detenido</v>
          </cell>
          <cell r="I14">
            <v>0</v>
          </cell>
          <cell r="J14" t="str">
            <v>CAIPI detenido por problemas con el terreno propiedad del MINERD,  hace más de 4 años. Actualmente están a la espera de planos y de la validación de que el terreno esta liberado de situación de pago a antiguos ocupantes. Se observa que continúan depositando escombros en dicho terreno.</v>
          </cell>
          <cell r="K14" t="str">
            <v>18.518175, -70.017087</v>
          </cell>
          <cell r="L14" t="str">
            <v>1N</v>
          </cell>
          <cell r="M14" t="str">
            <v>Aimee Gregoria Maleck Soto</v>
          </cell>
          <cell r="N14">
            <v>0</v>
          </cell>
          <cell r="O14" t="str">
            <v>maleck_03@yahoo.com</v>
          </cell>
          <cell r="P14" t="str">
            <v>2DO</v>
          </cell>
          <cell r="Q14">
            <v>0</v>
          </cell>
        </row>
        <row r="15">
          <cell r="H15" t="str">
            <v>Detenido pago cubicación</v>
          </cell>
          <cell r="I15">
            <v>0</v>
          </cell>
          <cell r="J15" t="str">
            <v>CAIPI detenido por cubicación.  En etapa final con primeras manos de pinturas de colores, detenido en espera de pago de cubicación, en proceso de revisión de cubicaciones por estados financieros. En reunión en la tercera semana del mes de marzo 2019 con la supervisión del MOPC, la contratista se acordó continuar con la construcción, y así gestionar la solución de los problemas que impedían que la obra se termine. En el mes de octubre del 2019 nos reunimos con la contratista, Supervisores de MOPC, Técnicos de DIGEPEP y de INAIPI, a los fines de comunicar las modificaciones y requerimientos de la cocina; la ubicación de una escalera de servicio y puerta de acceso para el mantenimiento en la azotea, los drenajes de segundo nivel, lactancia, solución de detalle en terraza.</v>
          </cell>
          <cell r="K15" t="str">
            <v>18.539765, -70.032064</v>
          </cell>
          <cell r="L15" t="str">
            <v>2N</v>
          </cell>
          <cell r="M15" t="str">
            <v>Jennifer Virginia Peláez Durán</v>
          </cell>
          <cell r="N15">
            <v>0</v>
          </cell>
          <cell r="O15" t="str">
            <v>jenniferpelaez12@hotmail.com</v>
          </cell>
          <cell r="P15" t="str">
            <v>2DO</v>
          </cell>
          <cell r="Q15">
            <v>0.84</v>
          </cell>
        </row>
        <row r="16">
          <cell r="H16" t="str">
            <v>Inaugurado</v>
          </cell>
          <cell r="I16">
            <v>0</v>
          </cell>
          <cell r="J16" t="str">
            <v>Inaugurado 2019</v>
          </cell>
          <cell r="K16" t="str">
            <v>18.521344, -70.059407</v>
          </cell>
          <cell r="L16" t="str">
            <v>1N</v>
          </cell>
          <cell r="M16" t="str">
            <v>Santos de la Cruz</v>
          </cell>
          <cell r="N16">
            <v>0</v>
          </cell>
          <cell r="O16" t="str">
            <v>ing.santos1978@gmail.com</v>
          </cell>
          <cell r="P16" t="str">
            <v>2DO</v>
          </cell>
          <cell r="Q16">
            <v>1</v>
          </cell>
        </row>
        <row r="17">
          <cell r="H17" t="str">
            <v>Sin Iniciar</v>
          </cell>
          <cell r="I17" t="str">
            <v xml:space="preserve">Sin Propuesta </v>
          </cell>
          <cell r="J17">
            <v>0</v>
          </cell>
          <cell r="K17" t="str">
            <v>18.570315,-70.088793</v>
          </cell>
          <cell r="L17">
            <v>0</v>
          </cell>
          <cell r="M17" t="str">
            <v>Eduardo Lajara Guerrero</v>
          </cell>
          <cell r="N17" t="str">
            <v>(809)383-3040</v>
          </cell>
          <cell r="O17" t="str">
            <v>ing.lajara@live.com</v>
          </cell>
          <cell r="P17" t="str">
            <v>2DO</v>
          </cell>
          <cell r="Q17">
            <v>0</v>
          </cell>
        </row>
        <row r="18">
          <cell r="H18" t="str">
            <v>Inaugurado</v>
          </cell>
          <cell r="I18">
            <v>0</v>
          </cell>
          <cell r="J18" t="str">
            <v>Inaugurado Nov 2016</v>
          </cell>
          <cell r="K18" t="str">
            <v>18.544599, -69.874615</v>
          </cell>
          <cell r="L18">
            <v>0</v>
          </cell>
          <cell r="M18" t="str">
            <v>Luis Emilio Ogando</v>
          </cell>
          <cell r="N18">
            <v>0</v>
          </cell>
          <cell r="O18" t="str">
            <v>moreno.mateo@gmail.com</v>
          </cell>
          <cell r="P18" t="str">
            <v>1ER</v>
          </cell>
          <cell r="Q18">
            <v>1</v>
          </cell>
        </row>
        <row r="19">
          <cell r="H19" t="str">
            <v>Inaugurado</v>
          </cell>
          <cell r="I19">
            <v>0</v>
          </cell>
          <cell r="J19">
            <v>0</v>
          </cell>
          <cell r="K19" t="str">
            <v>18.544599, -69.874615</v>
          </cell>
          <cell r="L19">
            <v>0</v>
          </cell>
          <cell r="M19" t="str">
            <v>José Ramón de León</v>
          </cell>
          <cell r="N19">
            <v>0</v>
          </cell>
          <cell r="O19">
            <v>0</v>
          </cell>
          <cell r="P19" t="str">
            <v>1ER</v>
          </cell>
          <cell r="Q19">
            <v>1</v>
          </cell>
        </row>
        <row r="20">
          <cell r="H20" t="str">
            <v>Detenido pago cubicación</v>
          </cell>
          <cell r="I20">
            <v>0</v>
          </cell>
          <cell r="J20" t="str">
            <v xml:space="preserve">CAIPI detenido a la espera de pago de cubicación. Avanzaron en pañetes, interiores y exteriores, molduras, cantos, trabajos eléctricos, entre otros. Tienen pendiente las modificaciones en la cocina, de acuerdo con los requerimientos del INAIPI. Sugerimos se revise la altura interior de la verja perimetral, ya que existe un desnivel que pone en riesgo la seguridad interna de los niños. </v>
          </cell>
          <cell r="K20" t="str">
            <v>18.552348, -69.8687</v>
          </cell>
          <cell r="L20">
            <v>0</v>
          </cell>
          <cell r="M20" t="str">
            <v>Antonio Moreno Mateo</v>
          </cell>
          <cell r="N20" t="str">
            <v>(829)882-0401</v>
          </cell>
          <cell r="O20">
            <v>0</v>
          </cell>
          <cell r="P20" t="str">
            <v>2DO</v>
          </cell>
          <cell r="Q20">
            <v>0.52</v>
          </cell>
        </row>
        <row r="21">
          <cell r="H21" t="str">
            <v>Detenido por planos</v>
          </cell>
          <cell r="I21">
            <v>0</v>
          </cell>
          <cell r="J21" t="str">
            <v>CAIPI detenido en espera de planos. En el mes de enero, los técnicos de MOPC y MINERD realizaron visita, a los fines de coordinar nueva propuesta de ubicación de conjunto en el terreno y del diseño de los muros de verja por las condiciones del terreno, además validación del movimiento de tierra realizado. Está detenido desde julio del 2019. Ya le entregaron la aprobación del muro, están en revisión de costos y pago de cubicación.</v>
          </cell>
          <cell r="K21" t="str">
            <v>18.555570,-69.856876</v>
          </cell>
          <cell r="L21" t="str">
            <v>2N</v>
          </cell>
          <cell r="M21" t="str">
            <v>Mariana Brazoban Mañon</v>
          </cell>
          <cell r="N21" t="str">
            <v>(829)521-6935</v>
          </cell>
          <cell r="O21" t="str">
            <v>eimiaamariana@gmail.com</v>
          </cell>
          <cell r="P21" t="str">
            <v>2DO</v>
          </cell>
          <cell r="Q21">
            <v>0.04</v>
          </cell>
        </row>
        <row r="22">
          <cell r="H22" t="str">
            <v>Sin Iniciar</v>
          </cell>
          <cell r="I22" t="str">
            <v xml:space="preserve">Sin Propuesta </v>
          </cell>
          <cell r="J22" t="str">
            <v>Propuesta evaluada(18.599396,-69.840532)</v>
          </cell>
          <cell r="K22">
            <v>0</v>
          </cell>
          <cell r="L22" t="str">
            <v>1N</v>
          </cell>
          <cell r="M22" t="str">
            <v>INGELCOND SRL/Antonio Feliciano Castillo2</v>
          </cell>
          <cell r="N22" t="str">
            <v>(809)903-1858</v>
          </cell>
          <cell r="O22" t="str">
            <v>castillo110611@gmail.com</v>
          </cell>
          <cell r="P22" t="str">
            <v>2DO</v>
          </cell>
          <cell r="Q22">
            <v>0</v>
          </cell>
        </row>
        <row r="23">
          <cell r="H23" t="str">
            <v>Detenido pago cubicación</v>
          </cell>
          <cell r="I23">
            <v>0</v>
          </cell>
          <cell r="J23" t="str">
            <v>CAIPI detenido a la espera de pago de cubicación. Presentan avances en pañetes interiores y exteriores, iniciaron con la base de pintura. Sigue pendiente eliminar muro de comedor por seguridad de los usuarios y queda pendiente realizar las modificaciones en la cocina, de acuerdo con los requerimientos del INAIPI. Este proyecto, así como Sabana Perdida 1 y Alcarrizos 1, ha sido afectado por la delincuencia (robos) en esta cuarentena.</v>
          </cell>
          <cell r="K23" t="str">
            <v>18.553892, -69.851632</v>
          </cell>
          <cell r="L23">
            <v>0</v>
          </cell>
          <cell r="M23" t="str">
            <v>Ferlenny Zorrilla Gonzalez</v>
          </cell>
          <cell r="N23" t="str">
            <v>(809)879--1536</v>
          </cell>
          <cell r="O23" t="str">
            <v>zorrilla1984@gmail.com</v>
          </cell>
          <cell r="P23" t="str">
            <v>2DO</v>
          </cell>
          <cell r="Q23">
            <v>0.56999999999999995</v>
          </cell>
        </row>
        <row r="24">
          <cell r="H24" t="str">
            <v>Detenido pago cubicación</v>
          </cell>
          <cell r="I24">
            <v>0</v>
          </cell>
          <cell r="J24" t="str">
            <v xml:space="preserve">CAIPI detenido a la espera de pago de cubicación. Este proyecto avanzó   en los trabajos de movimiento de tierra, pero aún no terminan, esperan recursos. Estos trabajos fueron iniciados a mediados del mes diciembre 2019, realizaron la demolición de la estructura existente, tiene planos constructivos e instalaron el letrero.
</v>
          </cell>
          <cell r="K24" t="str">
            <v>18.542116, -69.859443</v>
          </cell>
          <cell r="L24" t="str">
            <v>2N</v>
          </cell>
          <cell r="M24" t="str">
            <v>Ramona Jimenez Carbonell</v>
          </cell>
          <cell r="N24" t="str">
            <v>(809)249-9760</v>
          </cell>
          <cell r="O24" t="str">
            <v>ing_ramonajimenez@hotmail.com</v>
          </cell>
          <cell r="P24" t="str">
            <v>2DO</v>
          </cell>
          <cell r="Q24">
            <v>0.05</v>
          </cell>
        </row>
        <row r="25">
          <cell r="H25" t="str">
            <v>Inaugurado</v>
          </cell>
          <cell r="I25">
            <v>0</v>
          </cell>
          <cell r="J25">
            <v>0</v>
          </cell>
          <cell r="K25">
            <v>0</v>
          </cell>
          <cell r="L25" t="str">
            <v>1N</v>
          </cell>
          <cell r="M25" t="str">
            <v>Ma. Alt. Arias Figuereo de Hiciano</v>
          </cell>
          <cell r="N25" t="str">
            <v>809-923-0968</v>
          </cell>
          <cell r="O25" t="str">
            <v>ing_maria2312@hotmail.com</v>
          </cell>
          <cell r="P25" t="str">
            <v>1ER</v>
          </cell>
          <cell r="Q25">
            <v>1</v>
          </cell>
        </row>
        <row r="26">
          <cell r="H26" t="str">
            <v>Detenido pago cubicación</v>
          </cell>
          <cell r="I26">
            <v>0</v>
          </cell>
          <cell r="J26" t="str">
            <v xml:space="preserve">CAIPI detenido en espera de pago de cubicación.   En la última semana de enero la brigada de MOPC, realizo visita al proyecto a realizar levantamiento del terreno y validar movimiento de tierra y trabajar en diseños estructurales. Esta validación fue entregada a supervisión para procesar cubicación, el cual está en proceso. Detenido desde el mes de abril del año 2019.                                                   </v>
          </cell>
          <cell r="K26" t="str">
            <v>18.524354,-69.917088</v>
          </cell>
          <cell r="L26">
            <v>0</v>
          </cell>
          <cell r="M26" t="str">
            <v>Juan Oscar de Peña García</v>
          </cell>
          <cell r="N26" t="str">
            <v>809-707-0882 / 809-483-1560 / 809-598-1919</v>
          </cell>
          <cell r="O26" t="str">
            <v>oscar.de.peña@gmail.com</v>
          </cell>
          <cell r="P26" t="str">
            <v>1ER</v>
          </cell>
          <cell r="Q26">
            <v>0.03</v>
          </cell>
        </row>
        <row r="27">
          <cell r="H27" t="str">
            <v>Detenido</v>
          </cell>
          <cell r="I27">
            <v>0</v>
          </cell>
          <cell r="J27" t="str">
            <v xml:space="preserve">CAIPI detenido.  El proceso constructivo, en espera de revisión de precios y presupuesto; con avances en la construcción de la verja perimetral, caseta de almacén, replanteo de los módulos, y en la preparación de 2 pozos.
</v>
          </cell>
          <cell r="K27" t="str">
            <v>18.53748293,-69.9399991</v>
          </cell>
          <cell r="L27" t="str">
            <v>1N</v>
          </cell>
          <cell r="M27" t="str">
            <v>Pedro Pablo Toribio Lantigua</v>
          </cell>
          <cell r="N27" t="str">
            <v>(809)696-8105</v>
          </cell>
          <cell r="O27" t="str">
            <v>pptorilan@hotmail.com</v>
          </cell>
          <cell r="P27" t="str">
            <v>2DO</v>
          </cell>
          <cell r="Q27">
            <v>0.12</v>
          </cell>
        </row>
        <row r="28">
          <cell r="H28" t="str">
            <v>Detenido</v>
          </cell>
          <cell r="I28">
            <v>0</v>
          </cell>
          <cell r="J28" t="str">
            <v>CAIPI Detenido.  Esta construcción aún no reinicia luego de la cuarentena por COVID 19, están a la espera de presupuesto de muro que se levantará en verja, por las condiciones del terreno y por la fuerte pendiente y desnivel colindante (muy bajo). Se realizaron los planos, están a la espera del presupuesto y precios desde el mes de mayo 2020.</v>
          </cell>
          <cell r="K28" t="str">
            <v>18.528063,-69.945425</v>
          </cell>
          <cell r="L28" t="str">
            <v>1N</v>
          </cell>
          <cell r="M28" t="str">
            <v>Wilky Jhonny Tejeda Melo</v>
          </cell>
          <cell r="N28" t="str">
            <v>(809)330-0601</v>
          </cell>
          <cell r="O28" t="str">
            <v>wjtejeda@hotmail.com</v>
          </cell>
          <cell r="P28" t="str">
            <v>2DO</v>
          </cell>
          <cell r="Q28">
            <v>0.11</v>
          </cell>
        </row>
        <row r="29">
          <cell r="H29" t="str">
            <v>Detenido por planos</v>
          </cell>
          <cell r="I29">
            <v>0</v>
          </cell>
          <cell r="J29" t="str">
            <v>CAIPI detenido por planos. Continúan a la espera de terminación de los diseños estructurales e hidráulicos. La parte posterior del solar fue intervenida por el ayuntamiento con unos trabajos hidráulicos, que afectaban a los moradores del sector. Realizaron refracción sísmica en nov. 2017 y aún están trabajando en el diseños estructurales e hidráulicos, en los resultados de la refracción sísmica y los estudios de suelos.</v>
          </cell>
          <cell r="K29" t="str">
            <v>18.539842, -69.904788</v>
          </cell>
          <cell r="L29" t="str">
            <v>Un nivel</v>
          </cell>
          <cell r="M29" t="str">
            <v>Mysette Dolores Batista Gómez de C.</v>
          </cell>
          <cell r="N29" t="str">
            <v>809-613-4482</v>
          </cell>
          <cell r="O29" t="str">
            <v>mydobago@hotmail.com</v>
          </cell>
          <cell r="P29" t="str">
            <v>1ER</v>
          </cell>
          <cell r="Q29">
            <v>0</v>
          </cell>
        </row>
        <row r="30">
          <cell r="H30" t="str">
            <v>Detenido</v>
          </cell>
          <cell r="I30">
            <v>0</v>
          </cell>
          <cell r="J30" t="str">
            <v xml:space="preserve">CAIPI detenido. Está a la espera de respuesta de reporte de movimiento de tierra revisado en varias ocasiones; en el mes de enero 2020, los técnicos de MOPC realizaron levantamiento de terreno a los fines de revisar la volumetría del movimiento de tierra, realizado desde noviembre 2018 y dichos técnicos trabajaron en los nuevos diseños estructurales y de muro de contención, están revisando precios, presupuesto y cubicaciones. Este terreno y las casas colindantes tienen peligro de deslizamiento.  </v>
          </cell>
          <cell r="K30" t="str">
            <v xml:space="preserve">18.530422,-69.9084550 </v>
          </cell>
          <cell r="L30" t="str">
            <v>Un nivel</v>
          </cell>
          <cell r="M30" t="str">
            <v>SEMUROSA SUPLISERVIC CONSULT, S.R.L.</v>
          </cell>
          <cell r="N30" t="str">
            <v>849-629-9524 / 829-279-4004</v>
          </cell>
          <cell r="O30" t="str">
            <v>josebernardocid@gmail.com</v>
          </cell>
          <cell r="P30" t="str">
            <v>1ER</v>
          </cell>
          <cell r="Q30">
            <v>0.04</v>
          </cell>
        </row>
        <row r="31">
          <cell r="H31" t="str">
            <v>Inaugurado</v>
          </cell>
          <cell r="I31">
            <v>0</v>
          </cell>
          <cell r="J31" t="str">
            <v>CAIPI INAUGURADO EL 25 DE JUNIO 2019</v>
          </cell>
          <cell r="K31" t="str">
            <v>18.581453, -69.927731</v>
          </cell>
          <cell r="L31" t="str">
            <v>1N</v>
          </cell>
          <cell r="M31" t="str">
            <v>Jorge Abel Ureña Collado</v>
          </cell>
          <cell r="N31" t="str">
            <v>(829)801-6576</v>
          </cell>
          <cell r="O31" t="str">
            <v>collado23@gmail.com</v>
          </cell>
          <cell r="P31" t="str">
            <v>2DO</v>
          </cell>
          <cell r="Q31">
            <v>1</v>
          </cell>
        </row>
        <row r="32">
          <cell r="H32" t="str">
            <v>Detenido</v>
          </cell>
          <cell r="I32">
            <v>0</v>
          </cell>
          <cell r="J32" t="str">
            <v>CAIPI Detenido. En proceso de revisión de trabajos y cubicaciones. Detenido desde el mes de octubre del 2019. En la 3era semana de noviembre visitamos el CAIPI en coordinación con el supervisor de INAIPI, el cual estaba detenido y en dicha visita se realizó levantamiento de algunas observaciones señaladas (tejas, pañetes, séptico, losa pasarela entre otros), a los fines de que estas sean corregidas. Aún pendiente la modificación y readecuación de cocinas conforme a requerimiento de INAIPI.</v>
          </cell>
          <cell r="K32" t="str">
            <v>18.577159, -69.923814</v>
          </cell>
          <cell r="L32" t="str">
            <v>1N</v>
          </cell>
          <cell r="M32" t="str">
            <v>Wellington Apolinar Ramirez de Leon</v>
          </cell>
          <cell r="N32" t="str">
            <v>(829)919-7230</v>
          </cell>
          <cell r="O32" t="str">
            <v>wellingtonramirez_@hotmail.com</v>
          </cell>
          <cell r="P32" t="str">
            <v>2DO</v>
          </cell>
          <cell r="Q32">
            <v>0.66</v>
          </cell>
        </row>
        <row r="33">
          <cell r="H33" t="str">
            <v>Detenido</v>
          </cell>
          <cell r="I33">
            <v>0</v>
          </cell>
          <cell r="J33" t="str">
            <v>CAIPI detenido. Están en proceso de levantamiento topográfico en coordinación con MOPC, para la ubicación de la planta de conjunto para la tala de árboles y diseño de muro que colinda con la ribera del rio. Este proyecto cuenta con la autorización o permisos de Medio Ambiente para iniciar la construcción.</v>
          </cell>
          <cell r="K33" t="str">
            <v>18.521256, -69.898024</v>
          </cell>
          <cell r="L33">
            <v>0</v>
          </cell>
          <cell r="M33" t="str">
            <v>Jonathan Gilberto Brito Hernandez</v>
          </cell>
          <cell r="N33" t="str">
            <v>(849)353-7007</v>
          </cell>
          <cell r="O33" t="str">
            <v>jonathanbrito1978@hotmail.com</v>
          </cell>
          <cell r="P33" t="str">
            <v>2DO</v>
          </cell>
          <cell r="Q33">
            <v>0</v>
          </cell>
        </row>
        <row r="34">
          <cell r="H34" t="str">
            <v>Detenido</v>
          </cell>
          <cell r="I34">
            <v>0</v>
          </cell>
          <cell r="J34" t="str">
            <v>CAIPI   Detenido.  En este proyecto se realizó movimiento de tierra, está en espera proceso de validación de este. El contratista recibió los planos del nuevo diseño estructural.</v>
          </cell>
          <cell r="K34" t="str">
            <v>18.567245, -69.911026</v>
          </cell>
          <cell r="L34" t="str">
            <v>1N</v>
          </cell>
          <cell r="M34" t="str">
            <v>Const Civiles &amp; Serv. SRL/Anibal Rivera</v>
          </cell>
          <cell r="N34" t="str">
            <v>(849)360-5083</v>
          </cell>
          <cell r="O34" t="str">
            <v>anibal256@hotmail.com</v>
          </cell>
          <cell r="P34" t="str">
            <v>2DO</v>
          </cell>
          <cell r="Q34">
            <v>0.05</v>
          </cell>
        </row>
        <row r="35">
          <cell r="H35" t="str">
            <v>Inaugurado</v>
          </cell>
          <cell r="I35">
            <v>0</v>
          </cell>
          <cell r="J35">
            <v>0</v>
          </cell>
          <cell r="K35">
            <v>0</v>
          </cell>
          <cell r="L35">
            <v>0</v>
          </cell>
          <cell r="M35" t="str">
            <v>JOPSA &amp; Asoc. / Ing. José Polanco</v>
          </cell>
          <cell r="N35">
            <v>0</v>
          </cell>
          <cell r="O35">
            <v>0</v>
          </cell>
          <cell r="P35" t="str">
            <v>1ER</v>
          </cell>
          <cell r="Q35">
            <v>1</v>
          </cell>
        </row>
        <row r="36">
          <cell r="H36" t="str">
            <v>Detenido pago cubicación</v>
          </cell>
          <cell r="I36">
            <v>0</v>
          </cell>
          <cell r="J36" t="str">
            <v>CAIPI detenido por cubicación.  Avanzaron en el vaciado de rampas para discapacitados y en la colocación de blocks del segundo nivel. El contratista espera pago y revisión de precios que han aumentado post-pandemia.</v>
          </cell>
          <cell r="K36" t="str">
            <v>18.492061, -70.004624</v>
          </cell>
          <cell r="L36" t="str">
            <v>2N</v>
          </cell>
          <cell r="M36" t="str">
            <v>Braulio Jose Matos Reyes</v>
          </cell>
          <cell r="N36" t="str">
            <v xml:space="preserve"> (829)874-9337</v>
          </cell>
          <cell r="O36" t="str">
            <v>brauliojmr@gmail.com</v>
          </cell>
          <cell r="P36" t="str">
            <v>2DO</v>
          </cell>
          <cell r="Q36">
            <v>0.34</v>
          </cell>
        </row>
        <row r="37">
          <cell r="H37" t="str">
            <v>Detenido pago cubicación</v>
          </cell>
          <cell r="I37">
            <v>0</v>
          </cell>
          <cell r="J37" t="str">
            <v>CAIPI detenido por pago de cubicación. Antes de detenerse avanzó en la colocación de blocks y preparación de columnas en primer nivel y el inicio de las rampas que comunicaran al segundo nivel.</v>
          </cell>
          <cell r="K37" t="str">
            <v>18.4795940,-69.9835180</v>
          </cell>
          <cell r="L37" t="str">
            <v>2N</v>
          </cell>
          <cell r="M37" t="str">
            <v>Antonia Alexandra Caceres Gonzalez</v>
          </cell>
          <cell r="N37" t="str">
            <v>(829)986-9779</v>
          </cell>
          <cell r="O37" t="str">
            <v>caceresalexandra@yahoo.com</v>
          </cell>
          <cell r="P37" t="str">
            <v>2DO</v>
          </cell>
          <cell r="Q37">
            <v>0.13</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Mensual Gregory P Sep20"/>
      <sheetName val="Resumen Mensual Gregory P Ago20"/>
    </sheetNames>
    <sheetDataSet>
      <sheetData sheetId="0"/>
      <sheetData sheetId="1">
        <row r="10">
          <cell r="H10" t="str">
            <v>Inaugurado</v>
          </cell>
          <cell r="I10">
            <v>0</v>
          </cell>
          <cell r="J10">
            <v>0</v>
          </cell>
          <cell r="K10" t="str">
            <v>18.473733,  -69.315605</v>
          </cell>
          <cell r="L10" t="str">
            <v>1N</v>
          </cell>
          <cell r="M10" t="str">
            <v>Franklin Alexis Pimentel Duarte</v>
          </cell>
          <cell r="N10">
            <v>0</v>
          </cell>
          <cell r="O10">
            <v>0</v>
          </cell>
          <cell r="P10" t="str">
            <v>1ER</v>
          </cell>
          <cell r="Q10">
            <v>1</v>
          </cell>
        </row>
        <row r="11">
          <cell r="H11" t="str">
            <v>Detenido</v>
          </cell>
          <cell r="I11">
            <v>0</v>
          </cell>
          <cell r="J11" t="str">
            <v xml:space="preserve">CAIPI detenido. Se encuentra a nivel de dintel excepto casona que no se ha replanteado. La supervisión procesó una cubicación desde enero 2020, y aún no le han pagado, además al contratista dice que no reiniciará la obra hasta que no le reconozcan el movimiento de tierra solicitado.  </v>
          </cell>
          <cell r="K11" t="str">
            <v>18.477104, -69.292093</v>
          </cell>
          <cell r="L11" t="str">
            <v>1N</v>
          </cell>
          <cell r="M11" t="str">
            <v>Alejandro Alexis Mota Santana</v>
          </cell>
          <cell r="N11" t="str">
            <v>809-841-8168</v>
          </cell>
          <cell r="O11" t="str">
            <v>arqalex_226@hotmail.com</v>
          </cell>
          <cell r="P11" t="str">
            <v>1ER</v>
          </cell>
          <cell r="Q11">
            <v>0.2</v>
          </cell>
        </row>
        <row r="12">
          <cell r="H12" t="str">
            <v>Detenido pago cubicación</v>
          </cell>
          <cell r="I12">
            <v>0</v>
          </cell>
          <cell r="J12" t="str">
            <v xml:space="preserve">CAIPI detenido por cubicación. Con pintura de base, se detuvo la obra el 23 de junio 2020, estaban instalando las tuberías de aguas residuales, revistieron la cocina, pero todavía no está adecuada a los requerimientos del INAIPI.
</v>
          </cell>
          <cell r="K12" t="str">
            <v>18.447837, -69.298561</v>
          </cell>
          <cell r="L12" t="str">
            <v>1N</v>
          </cell>
          <cell r="M12" t="str">
            <v>Cruz Cid Const. Asoc. SRL / J. A. Cruz</v>
          </cell>
          <cell r="N12" t="str">
            <v>809-697-6946</v>
          </cell>
          <cell r="O12" t="str">
            <v>julian@cruzcid.com</v>
          </cell>
          <cell r="P12" t="str">
            <v>1ER</v>
          </cell>
          <cell r="Q12">
            <v>0.85</v>
          </cell>
        </row>
        <row r="13">
          <cell r="H13" t="str">
            <v>Detenido pago cubicación</v>
          </cell>
          <cell r="I13">
            <v>0</v>
          </cell>
          <cell r="J13" t="str">
            <v xml:space="preserve">CAIPI detenido por cubicación. Vació la losa del almacén después que se reactivaron los trabajos, pendiente terminar el lateral derecho de la verja perimetral, vació losas de ambos niveles, colocó los andamios para el pañete. detenido desde junio 2020.
</v>
          </cell>
          <cell r="K13" t="str">
            <v xml:space="preserve">      18.4774490, -69.3009600</v>
          </cell>
          <cell r="L13" t="str">
            <v>2N</v>
          </cell>
          <cell r="M13" t="str">
            <v xml:space="preserve">Luis Cesar Quezada Pimentel </v>
          </cell>
          <cell r="N13">
            <v>8096977620</v>
          </cell>
          <cell r="O13" t="str">
            <v>iquezada03@hotmail.com</v>
          </cell>
          <cell r="P13" t="str">
            <v>2DO</v>
          </cell>
          <cell r="Q13">
            <v>0.45</v>
          </cell>
        </row>
        <row r="14">
          <cell r="H14" t="str">
            <v>Detenido</v>
          </cell>
          <cell r="I14">
            <v>0</v>
          </cell>
          <cell r="J14" t="str">
            <v>CAIPI detenido. El contratista recibió pago de una parte de la cubicación que tenía en circuito, está en espera que le completen para reiniciar con el acondicionamiento del terreno y colocación para vaciado la platea.</v>
          </cell>
          <cell r="K14" t="str">
            <v>18.453475, -69.304030</v>
          </cell>
          <cell r="L14" t="str">
            <v>1N</v>
          </cell>
          <cell r="M14" t="str">
            <v>MOLINARA Ing.y Agm.SRL/Eligio M. Molina</v>
          </cell>
          <cell r="N14" t="str">
            <v>(829)741-9899</v>
          </cell>
          <cell r="O14" t="str">
            <v>molina.cxa@gmail.com</v>
          </cell>
          <cell r="P14" t="str">
            <v>2DO</v>
          </cell>
          <cell r="Q14">
            <v>0.1</v>
          </cell>
        </row>
        <row r="15">
          <cell r="H15" t="str">
            <v>Inaugurado</v>
          </cell>
          <cell r="I15">
            <v>0</v>
          </cell>
          <cell r="J15">
            <v>0</v>
          </cell>
          <cell r="K15" t="str">
            <v>18.465284, -69.273187</v>
          </cell>
          <cell r="L15" t="str">
            <v>1N</v>
          </cell>
          <cell r="M15" t="str">
            <v>Mario Julio Martinez Read</v>
          </cell>
          <cell r="N15" t="str">
            <v>(809)710-0930</v>
          </cell>
          <cell r="O15" t="str">
            <v>mariojulio.martinez@hotmail.com</v>
          </cell>
          <cell r="P15" t="str">
            <v>2DO</v>
          </cell>
          <cell r="Q15">
            <v>1</v>
          </cell>
        </row>
        <row r="16">
          <cell r="H16" t="str">
            <v>Detenido</v>
          </cell>
          <cell r="I16">
            <v>0</v>
          </cell>
          <cell r="J16" t="str">
            <v xml:space="preserve">CAIPI detenido. El 20 de mayo, él contratista entregó los documentos solicitados por el MOPC, para así solicitar el permiso de medio ambiente y poder iniciar el proyecto. El 25 de julio la supervisión del MOPC solicitó al CEA una certificación para poder hacer la solicitud medioambiental y aún no hay la autorización. </v>
          </cell>
          <cell r="K16" t="str">
            <v>18.5483950, -69.2997660</v>
          </cell>
          <cell r="L16" t="str">
            <v>1N</v>
          </cell>
          <cell r="M16" t="str">
            <v>Castor Const. EIRL/Edmundo García I.</v>
          </cell>
          <cell r="N16" t="str">
            <v>(809)723-5501</v>
          </cell>
          <cell r="O16" t="str">
            <v>elcastorconstruye@gmail.com</v>
          </cell>
          <cell r="P16" t="str">
            <v>1ER</v>
          </cell>
          <cell r="Q16">
            <v>0</v>
          </cell>
        </row>
        <row r="17">
          <cell r="H17" t="str">
            <v>Inaugurado</v>
          </cell>
          <cell r="I17">
            <v>0</v>
          </cell>
          <cell r="J17">
            <v>0</v>
          </cell>
          <cell r="K17" t="str">
            <v>18.763928, -69.037703</v>
          </cell>
          <cell r="L17" t="str">
            <v>2N</v>
          </cell>
          <cell r="M17" t="str">
            <v>Janser Ant. Maejía Zorrilla</v>
          </cell>
          <cell r="N17">
            <v>0</v>
          </cell>
          <cell r="O17">
            <v>0</v>
          </cell>
          <cell r="P17" t="str">
            <v>1ER</v>
          </cell>
          <cell r="Q17">
            <v>1</v>
          </cell>
        </row>
        <row r="18">
          <cell r="H18" t="str">
            <v>Sin Iniciar</v>
          </cell>
          <cell r="I18" t="str">
            <v xml:space="preserve">Con Propuesta de Donación </v>
          </cell>
          <cell r="J18">
            <v>0</v>
          </cell>
          <cell r="K18" t="str">
            <v>18.9806310, -69.0434980</v>
          </cell>
          <cell r="L18" t="str">
            <v>1N</v>
          </cell>
          <cell r="M18" t="str">
            <v>Elecasa Constructora .e Inmobiliaria, SRL/Elena Cabrera</v>
          </cell>
          <cell r="N18" t="str">
            <v>(809)729-9008</v>
          </cell>
          <cell r="O18" t="str">
            <v>elenacabrera07@gmail.com</v>
          </cell>
          <cell r="P18" t="str">
            <v>2DO</v>
          </cell>
          <cell r="Q18">
            <v>0</v>
          </cell>
        </row>
        <row r="19">
          <cell r="H19" t="str">
            <v>En Construcción</v>
          </cell>
          <cell r="I19">
            <v>0</v>
          </cell>
          <cell r="J19" t="str">
            <v>CAIPI en construcción. Está a nivel de pintura de todos los módulos, Están trabajando en la jardinería, en las excavaciones del drenaje pluvial en el patio, vaciando las rampas de acceso entre módulos y colocando malla ciclónica encima de la verja perimetral lateral derecho como protección.</v>
          </cell>
          <cell r="K19" t="str">
            <v>18.780616, -69.251666</v>
          </cell>
          <cell r="L19" t="str">
            <v>1N</v>
          </cell>
          <cell r="M19" t="str">
            <v>Antonio Martínez</v>
          </cell>
          <cell r="N19" t="str">
            <v>809-395-3591</v>
          </cell>
          <cell r="O19" t="str">
            <v>servicios430@yahoo.com</v>
          </cell>
          <cell r="P19" t="str">
            <v>1ER</v>
          </cell>
          <cell r="Q19">
            <v>0.83</v>
          </cell>
        </row>
        <row r="20">
          <cell r="H20" t="str">
            <v>Detenido por planos</v>
          </cell>
          <cell r="I20">
            <v>0</v>
          </cell>
          <cell r="J20" t="str">
            <v>CAIPI detenido por planos. La contratista está en espera desde el 12 de febrero 2020 de la aprobación de movimiento de tierra.</v>
          </cell>
          <cell r="K20" t="str">
            <v>18.767563, -69.262354</v>
          </cell>
          <cell r="L20" t="str">
            <v>2N</v>
          </cell>
          <cell r="M20" t="str">
            <v>Jannfreisy Anabelle Rivas Rodriguez</v>
          </cell>
          <cell r="N20" t="str">
            <v>(809)981-6088</v>
          </cell>
          <cell r="O20" t="str">
            <v>jannfreisy@gmail.com</v>
          </cell>
          <cell r="P20" t="str">
            <v>2DO</v>
          </cell>
          <cell r="Q20">
            <v>0</v>
          </cell>
        </row>
        <row r="21">
          <cell r="H21" t="str">
            <v>Detenido</v>
          </cell>
          <cell r="I21">
            <v>0</v>
          </cell>
          <cell r="J21" t="str">
            <v>CAIPI detenido. La supervisión envió el 24 de agosto 2020 una cubicación de cierre del CAIPI al MINERD que lo había solicitado, para enviar nuevamente la rescisión del contrato por incumplimiento. Solo ha realizado la verja perimetral, una canaleta externa para sacar agua y construcción de parte de la cisterna.</v>
          </cell>
          <cell r="K21" t="str">
            <v>19.050900, -69.389487</v>
          </cell>
          <cell r="L21" t="str">
            <v>2N</v>
          </cell>
          <cell r="M21" t="str">
            <v>Jose Miguel A. Nuñez Balbuena</v>
          </cell>
          <cell r="N21" t="str">
            <v>(809)504-7790</v>
          </cell>
          <cell r="O21" t="str">
            <v>ing.amadairis@gmail.com</v>
          </cell>
          <cell r="P21" t="str">
            <v>2DO</v>
          </cell>
          <cell r="Q21">
            <v>0.1</v>
          </cell>
        </row>
        <row r="22">
          <cell r="H22" t="str">
            <v>Detenido pago cubicación</v>
          </cell>
          <cell r="I22">
            <v>0</v>
          </cell>
          <cell r="J22" t="str">
            <v>CAIPI detenido por cubicación. Habían realizado las excavaciones del drenaje pluvial, estaban dándole terminación a los pisos, para luego iniciar con la pintura acrílica de colores, detenido desde julio 2020.</v>
          </cell>
          <cell r="K22" t="str">
            <v>18.420994, -68.987906</v>
          </cell>
          <cell r="L22" t="str">
            <v>1N</v>
          </cell>
          <cell r="M22" t="str">
            <v>César Augusto Hunt Álvarez</v>
          </cell>
          <cell r="N22" t="str">
            <v>(809)710-1717</v>
          </cell>
          <cell r="O22" t="str">
            <v>arqhunt@hotmail.com</v>
          </cell>
          <cell r="P22" t="str">
            <v>1ER</v>
          </cell>
          <cell r="Q22">
            <v>0.72</v>
          </cell>
        </row>
        <row r="23">
          <cell r="H23" t="str">
            <v>Detenido pago cubicación</v>
          </cell>
          <cell r="I23">
            <v>0</v>
          </cell>
          <cell r="J23" t="str">
            <v xml:space="preserve">CAIPI detenido por cubicación. Realizó el vaciado de la zapata y colocó los blocks a nivel de viga de amarre, detenido desde marzo. </v>
          </cell>
          <cell r="K23" t="str">
            <v>18.440216, -68.978306</v>
          </cell>
          <cell r="L23" t="str">
            <v>1N</v>
          </cell>
          <cell r="M23" t="str">
            <v>Constructora Terrero Franco, SRL</v>
          </cell>
          <cell r="N23" t="str">
            <v>(809)383-1785</v>
          </cell>
          <cell r="O23" t="str">
            <v>ing.carmenfranco@hotmail.com</v>
          </cell>
          <cell r="P23" t="str">
            <v>1ER</v>
          </cell>
          <cell r="Q23">
            <v>0.14000000000000001</v>
          </cell>
        </row>
        <row r="24">
          <cell r="H24" t="str">
            <v>Sin Iniciar</v>
          </cell>
          <cell r="I24" t="str">
            <v xml:space="preserve">Con Propuesta de Donación </v>
          </cell>
          <cell r="J24">
            <v>0</v>
          </cell>
          <cell r="K24" t="str">
            <v>18.4561550, -69.2982120</v>
          </cell>
          <cell r="L24" t="str">
            <v>1N</v>
          </cell>
          <cell r="M24" t="str">
            <v>Esteban Cayetano Rijo</v>
          </cell>
          <cell r="N24" t="str">
            <v>(809)710-3973</v>
          </cell>
          <cell r="O24" t="str">
            <v>ingcayetano@hotmail.com</v>
          </cell>
          <cell r="P24" t="str">
            <v>2DO</v>
          </cell>
          <cell r="Q24">
            <v>0</v>
          </cell>
        </row>
        <row r="25">
          <cell r="H25" t="str">
            <v>Inaugurado</v>
          </cell>
          <cell r="I25">
            <v>0</v>
          </cell>
          <cell r="J25" t="str">
            <v xml:space="preserve"> CAIPI inaugurado. Queda pendientes:  pintando de paragoma en parqueo y mantenimiento a la grama y paisajismo.</v>
          </cell>
          <cell r="K25" t="str">
            <v>18.590883, -68.978243</v>
          </cell>
          <cell r="L25" t="str">
            <v>1N</v>
          </cell>
          <cell r="M25" t="str">
            <v>Amaury Medina Diaz</v>
          </cell>
          <cell r="N25" t="str">
            <v>(809)760-4098</v>
          </cell>
          <cell r="O25" t="str">
            <v>ing.medina35@gmail.com</v>
          </cell>
          <cell r="P25" t="str">
            <v>2DO</v>
          </cell>
          <cell r="Q25">
            <v>1</v>
          </cell>
        </row>
        <row r="26">
          <cell r="H26" t="str">
            <v>Inaugurado</v>
          </cell>
          <cell r="I26">
            <v>0</v>
          </cell>
          <cell r="J26">
            <v>0</v>
          </cell>
          <cell r="K26" t="str">
            <v>18.438787, -69.000212</v>
          </cell>
          <cell r="L26" t="str">
            <v>2N</v>
          </cell>
          <cell r="M26" t="str">
            <v>Héctor Román Aquino Castillo</v>
          </cell>
          <cell r="N26" t="str">
            <v>809-875-1641</v>
          </cell>
          <cell r="O26" t="str">
            <v>haquinocastillo@gmail.com</v>
          </cell>
          <cell r="P26" t="str">
            <v>1ER</v>
          </cell>
          <cell r="Q26">
            <v>1</v>
          </cell>
        </row>
        <row r="27">
          <cell r="H27" t="str">
            <v>Inaugurado</v>
          </cell>
          <cell r="I27">
            <v>0</v>
          </cell>
          <cell r="J27">
            <v>0</v>
          </cell>
          <cell r="K27" t="str">
            <v>18.441956, -69.019828</v>
          </cell>
          <cell r="L27" t="str">
            <v>1N</v>
          </cell>
          <cell r="M27" t="str">
            <v>Ramon Mejia</v>
          </cell>
          <cell r="N27" t="str">
            <v>(809)819-6784</v>
          </cell>
          <cell r="O27" t="str">
            <v>obramsa@yahoo.com</v>
          </cell>
          <cell r="P27" t="str">
            <v>2DO</v>
          </cell>
          <cell r="Q27">
            <v>1</v>
          </cell>
        </row>
        <row r="28">
          <cell r="H28" t="str">
            <v>Detenido</v>
          </cell>
          <cell r="I28">
            <v>0</v>
          </cell>
          <cell r="J28" t="str">
            <v xml:space="preserve">
CAIPI detenido. Este contratista tiene recursos del estado desde noviembre del 2018. y no está trabajando sin ninguna justificación.</v>
          </cell>
          <cell r="K28" t="str">
            <v>18.457249, -69.015298</v>
          </cell>
          <cell r="L28" t="str">
            <v>1N</v>
          </cell>
          <cell r="M28" t="str">
            <v>Fermin, Aquino &amp; Heriveaux SRL/ R. I. Aquino</v>
          </cell>
          <cell r="N28" t="str">
            <v>(809)819-6784</v>
          </cell>
          <cell r="O28" t="str">
            <v>j.heriveaux@me.com</v>
          </cell>
          <cell r="P28" t="str">
            <v>1ER</v>
          </cell>
          <cell r="Q28">
            <v>0.09</v>
          </cell>
        </row>
        <row r="29">
          <cell r="H29" t="str">
            <v>Inaugurado</v>
          </cell>
          <cell r="I29">
            <v>0</v>
          </cell>
          <cell r="J29">
            <v>0</v>
          </cell>
          <cell r="K29" t="str">
            <v>18.459553, -69.019643</v>
          </cell>
          <cell r="L29" t="str">
            <v>1N</v>
          </cell>
          <cell r="M29" t="str">
            <v>Luis Alberto Calderon Taveras</v>
          </cell>
          <cell r="N29" t="str">
            <v>(849)853-1226</v>
          </cell>
          <cell r="O29" t="str">
            <v>Louistaveras85@hotmail.es</v>
          </cell>
          <cell r="P29" t="str">
            <v>2DO</v>
          </cell>
          <cell r="Q29">
            <v>1</v>
          </cell>
        </row>
        <row r="30">
          <cell r="H30" t="str">
            <v>Inaugurado</v>
          </cell>
          <cell r="I30">
            <v>0</v>
          </cell>
          <cell r="J30">
            <v>0</v>
          </cell>
          <cell r="K30" t="str">
            <v>18.591615, -68.708961</v>
          </cell>
          <cell r="L30" t="str">
            <v>2N</v>
          </cell>
          <cell r="M30" t="str">
            <v>Ma. Salomé Díaz Mercedes</v>
          </cell>
          <cell r="N30">
            <v>0</v>
          </cell>
          <cell r="O30">
            <v>0</v>
          </cell>
          <cell r="P30" t="str">
            <v>1ER</v>
          </cell>
          <cell r="Q30">
            <v>1</v>
          </cell>
        </row>
        <row r="31">
          <cell r="H31" t="str">
            <v>Detenido pago cubicación</v>
          </cell>
          <cell r="I31">
            <v>0</v>
          </cell>
          <cell r="J31" t="str">
            <v>CAIPI detenido por cubicación. Estaban pintando la verja perimetral y dando retoques pinturas de colores a los módulos.</v>
          </cell>
          <cell r="K31" t="str">
            <v>18.609022, -68.71009</v>
          </cell>
          <cell r="L31" t="str">
            <v>1N</v>
          </cell>
          <cell r="M31" t="str">
            <v>CONSERMANCA,SRL/Darío A. Yunes</v>
          </cell>
          <cell r="N31" t="str">
            <v>(829)580-4025</v>
          </cell>
          <cell r="O31" t="str">
            <v>d.y.25@gmai.com</v>
          </cell>
          <cell r="P31" t="str">
            <v>1ER</v>
          </cell>
          <cell r="Q31">
            <v>0.87</v>
          </cell>
        </row>
        <row r="32">
          <cell r="H32" t="str">
            <v>Inaugurado</v>
          </cell>
          <cell r="I32">
            <v>0</v>
          </cell>
          <cell r="J32">
            <v>0</v>
          </cell>
          <cell r="K32" t="str">
            <v>18.635468, -68.714987</v>
          </cell>
          <cell r="L32" t="str">
            <v>2N</v>
          </cell>
          <cell r="M32" t="str">
            <v>Willians Antonio Martínez Jiménez</v>
          </cell>
          <cell r="N32" t="str">
            <v>829-679-4318/829-924-3804</v>
          </cell>
          <cell r="O32" t="str">
            <v>yeselisjimenez@yahoo.es</v>
          </cell>
          <cell r="P32" t="str">
            <v>1ER</v>
          </cell>
          <cell r="Q32">
            <v>1</v>
          </cell>
        </row>
        <row r="33">
          <cell r="H33" t="str">
            <v>Inaugurado</v>
          </cell>
          <cell r="I33">
            <v>0</v>
          </cell>
          <cell r="J33" t="str">
            <v>CAIPI inaugurado.   Queda pendiente continuar con los alerones entre la terraza y el comedor, la escalera para dar mantenimiento del tinaco, el alambrado a las luces led del patio y la adecuación de la cocina a los requerimientos del INAIPI.</v>
          </cell>
          <cell r="K33" t="str">
            <v>18.630203,-68.714376</v>
          </cell>
          <cell r="L33" t="str">
            <v>1N</v>
          </cell>
          <cell r="M33" t="str">
            <v>Edgar Rafael V. Ramirez de la Rosa</v>
          </cell>
          <cell r="N33" t="str">
            <v>(809)756-1114</v>
          </cell>
          <cell r="O33" t="str">
            <v>ramdlrosa28@hotmail.com</v>
          </cell>
          <cell r="P33" t="str">
            <v>2DO</v>
          </cell>
          <cell r="Q33">
            <v>1</v>
          </cell>
        </row>
        <row r="34">
          <cell r="H34" t="str">
            <v>Inaugurado</v>
          </cell>
          <cell r="I34">
            <v>0</v>
          </cell>
          <cell r="J34">
            <v>0</v>
          </cell>
          <cell r="K34" t="str">
            <v>18.593957, -68.434953</v>
          </cell>
          <cell r="L34" t="str">
            <v>2N</v>
          </cell>
          <cell r="M34" t="str">
            <v>Erick Dael Yrizarry de la Cruz</v>
          </cell>
          <cell r="N34">
            <v>0</v>
          </cell>
          <cell r="O34">
            <v>0</v>
          </cell>
          <cell r="P34" t="str">
            <v>1ER</v>
          </cell>
          <cell r="Q34">
            <v>1</v>
          </cell>
        </row>
        <row r="35">
          <cell r="H35" t="str">
            <v>Detenido pago cubicación</v>
          </cell>
          <cell r="I35">
            <v>0</v>
          </cell>
          <cell r="J35" t="str">
            <v>CAIPI detenido por cubicación. Colocó pisos en los distintos módulos, en espera de recursos para continuar, detenido desde marzo 2020.</v>
          </cell>
          <cell r="K35" t="str">
            <v>18.593734, -68.407064</v>
          </cell>
          <cell r="L35" t="str">
            <v>1N</v>
          </cell>
          <cell r="M35" t="str">
            <v>Starlin Andres Martinez Grullon</v>
          </cell>
          <cell r="N35" t="str">
            <v>(809)907-6205</v>
          </cell>
          <cell r="O35" t="str">
            <v>starlin_martinez01@hotmail.com</v>
          </cell>
          <cell r="P35" t="str">
            <v>2DO</v>
          </cell>
          <cell r="Q35">
            <v>0.69</v>
          </cell>
        </row>
        <row r="36">
          <cell r="H36" t="str">
            <v>Inaugurado</v>
          </cell>
          <cell r="I36">
            <v>0</v>
          </cell>
          <cell r="J36" t="str">
            <v>CAIPI inaugurado. Queda pendiente 12 abanicos que le fueron robados. El contratista está esperando que el INAIPI le reciba y envié la seguridad para instalar dichos abanicos.</v>
          </cell>
          <cell r="K36" t="str">
            <v>18.679368, -68.456223</v>
          </cell>
          <cell r="L36" t="str">
            <v>2N</v>
          </cell>
          <cell r="M36" t="str">
            <v>Joan Manuel Pillier Rodriguez</v>
          </cell>
          <cell r="N36" t="str">
            <v>(829)284-8411</v>
          </cell>
          <cell r="O36" t="str">
            <v>arq_pillier@hotmail.com</v>
          </cell>
          <cell r="P36" t="str">
            <v>2DO</v>
          </cell>
          <cell r="Q36">
            <v>1</v>
          </cell>
        </row>
        <row r="37">
          <cell r="H37" t="str">
            <v>Detenido pago terreno</v>
          </cell>
          <cell r="I37">
            <v>0</v>
          </cell>
          <cell r="J37" t="str">
            <v>CAIPI detenido pago terreno. El 15 de enero, El MOPC entregó todos los planos a la contratista. Está esperando que el MINERD pague el terreno, para que los dueños le permitan iniciar el proyecto</v>
          </cell>
          <cell r="K37" t="str">
            <v>18.423116, -68.676629</v>
          </cell>
          <cell r="L37" t="str">
            <v>1N</v>
          </cell>
          <cell r="M37" t="str">
            <v>Cundinamarca Investments SRL/Rene Diaz</v>
          </cell>
          <cell r="N37" t="str">
            <v>(809)886-0061</v>
          </cell>
          <cell r="O37" t="str">
            <v>cundinamarca049@gmail.com</v>
          </cell>
          <cell r="P37" t="str">
            <v>2DO</v>
          </cell>
          <cell r="Q37">
            <v>0</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Anny Almanzar septi2020"/>
      <sheetName val="Hoja1"/>
    </sheetNames>
    <sheetDataSet>
      <sheetData sheetId="0" refreshError="1"/>
      <sheetData sheetId="1">
        <row r="10">
          <cell r="H10" t="str">
            <v>Inaugurado</v>
          </cell>
          <cell r="I10">
            <v>0</v>
          </cell>
          <cell r="J10">
            <v>0</v>
          </cell>
          <cell r="K10" t="str">
            <v>19.314685, -70.275780</v>
          </cell>
          <cell r="L10" t="str">
            <v>1N</v>
          </cell>
          <cell r="M10" t="str">
            <v>Miguerl Duarte Bnatista</v>
          </cell>
          <cell r="P10" t="str">
            <v>1ER</v>
          </cell>
          <cell r="Q10">
            <v>1</v>
          </cell>
        </row>
        <row r="11">
          <cell r="H11" t="str">
            <v>Inaugurado</v>
          </cell>
          <cell r="I11">
            <v>0</v>
          </cell>
          <cell r="J11">
            <v>0</v>
          </cell>
          <cell r="K11" t="str">
            <v>19.301732, -70.251182</v>
          </cell>
          <cell r="L11">
            <v>0</v>
          </cell>
          <cell r="M11" t="str">
            <v>Kelen Eucudes Paredes Brito</v>
          </cell>
          <cell r="P11" t="str">
            <v>1ER</v>
          </cell>
          <cell r="Q11">
            <v>1</v>
          </cell>
        </row>
        <row r="12">
          <cell r="H12" t="str">
            <v>Inaugurado</v>
          </cell>
          <cell r="I12">
            <v>0</v>
          </cell>
          <cell r="J12">
            <v>0</v>
          </cell>
          <cell r="K12" t="str">
            <v>19.286353, -70.257545</v>
          </cell>
          <cell r="L12">
            <v>0</v>
          </cell>
          <cell r="M12" t="str">
            <v>José Orlando Muñoz Monsanto</v>
          </cell>
          <cell r="P12" t="str">
            <v>1ER</v>
          </cell>
          <cell r="Q12">
            <v>1</v>
          </cell>
        </row>
        <row r="13">
          <cell r="H13" t="str">
            <v>Inaugurado</v>
          </cell>
          <cell r="K13" t="str">
            <v>19.300639, -70.248623</v>
          </cell>
          <cell r="L13" t="str">
            <v>2N</v>
          </cell>
          <cell r="M13" t="str">
            <v>Ramón Francisco Araujo/ Martín Santana</v>
          </cell>
          <cell r="N13" t="str">
            <v>809-723-5501, 809-683-2791, 809-723-5500</v>
          </cell>
          <cell r="O13" t="str">
            <v>elcastorconstruye@hotmail.com</v>
          </cell>
          <cell r="P13" t="str">
            <v>1ER</v>
          </cell>
          <cell r="Q13">
            <v>1</v>
          </cell>
        </row>
        <row r="14">
          <cell r="H14" t="str">
            <v>Detenido por planos</v>
          </cell>
          <cell r="J14" t="str">
            <v xml:space="preserve">CAIPI detenido por planos. Se espera una nueva visita del departamento de topografia del MINERD para ratificar unos niveles ya que los planos estructurales están dando muchos muros de contensión. </v>
          </cell>
          <cell r="K14" t="str">
            <v>19.306694, -70.245929</v>
          </cell>
          <cell r="L14" t="str">
            <v>2N</v>
          </cell>
          <cell r="M14" t="str">
            <v>Mizrain Amiher Santos Hernández</v>
          </cell>
          <cell r="N14" t="str">
            <v>(829)343-5300</v>
          </cell>
          <cell r="O14" t="str">
            <v>ing.mizsantos@hotmail.com</v>
          </cell>
          <cell r="P14" t="str">
            <v>2DO</v>
          </cell>
          <cell r="Q14">
            <v>0</v>
          </cell>
        </row>
        <row r="15">
          <cell r="H15" t="str">
            <v>Detenido pago cubicación</v>
          </cell>
          <cell r="J15" t="str">
            <v>CAIPI detenido por pago de cubicación. Esta a nivel de pintura de base, los trabajos fueron paralizados a principios de julio 2020 por falta de pago de cubicación.</v>
          </cell>
          <cell r="K15" t="str">
            <v>19.303084, -70.274522</v>
          </cell>
          <cell r="L15" t="str">
            <v>1N</v>
          </cell>
          <cell r="M15" t="str">
            <v>Juan Carlos Díaz Olivo</v>
          </cell>
          <cell r="N15" t="str">
            <v>(829)765-9480</v>
          </cell>
          <cell r="O15" t="str">
            <v>arq.juancarlosdiaz@gmail.com</v>
          </cell>
          <cell r="P15" t="str">
            <v>2DO</v>
          </cell>
          <cell r="Q15">
            <v>0.7</v>
          </cell>
        </row>
        <row r="16">
          <cell r="H16" t="str">
            <v>Inaugurado</v>
          </cell>
          <cell r="I16">
            <v>0</v>
          </cell>
          <cell r="J16">
            <v>0</v>
          </cell>
          <cell r="K16" t="str">
            <v>19.384883, -70.424668</v>
          </cell>
          <cell r="L16" t="str">
            <v>2N</v>
          </cell>
          <cell r="M16" t="str">
            <v>Darleny G. de la Cruz Rosario</v>
          </cell>
          <cell r="N16">
            <v>0</v>
          </cell>
          <cell r="P16" t="str">
            <v>1ER</v>
          </cell>
          <cell r="Q16">
            <v>1</v>
          </cell>
        </row>
        <row r="17">
          <cell r="H17" t="str">
            <v>Detenido pago terreno</v>
          </cell>
          <cell r="J17" t="str">
            <v>CAIPI detenido por pago de terreno desde el 20/08/18. Fue enviado otra propuesta de terreno para ser evaluada por MINERD.</v>
          </cell>
          <cell r="K17" t="str">
            <v>19.2944700, -70.41395550</v>
          </cell>
          <cell r="L17">
            <v>0</v>
          </cell>
          <cell r="M17" t="str">
            <v>Elio Manuel Martinez Gloss</v>
          </cell>
          <cell r="N17" t="str">
            <v>(809)875-6074</v>
          </cell>
          <cell r="O17" t="str">
            <v>arq.elio@hotmail.com</v>
          </cell>
          <cell r="P17" t="str">
            <v>2DO</v>
          </cell>
          <cell r="Q17">
            <v>0</v>
          </cell>
        </row>
        <row r="18">
          <cell r="H18" t="str">
            <v>En Construcción</v>
          </cell>
          <cell r="I18">
            <v>0</v>
          </cell>
          <cell r="J18" t="str">
            <v>CAIPI  en construcción. CAIPI en etapa primera manos de pintura de base, se terminó el muro de la canaleta y se colocan las luces exteriores.</v>
          </cell>
          <cell r="K18" t="str">
            <v>19.317006, -69.884568</v>
          </cell>
          <cell r="L18" t="str">
            <v>1N</v>
          </cell>
          <cell r="M18" t="str">
            <v>Juan Manuel Liriano Reyes</v>
          </cell>
          <cell r="N18" t="str">
            <v>(829)918-0206</v>
          </cell>
          <cell r="O18" t="str">
            <v>lirianox@gmail.com</v>
          </cell>
          <cell r="P18" t="str">
            <v>2DO</v>
          </cell>
          <cell r="Q18">
            <v>0.84</v>
          </cell>
        </row>
        <row r="19">
          <cell r="H19" t="str">
            <v>Inaugurado</v>
          </cell>
          <cell r="I19">
            <v>0</v>
          </cell>
          <cell r="K19" t="str">
            <v>19.384029, -69.860160</v>
          </cell>
          <cell r="L19" t="str">
            <v>1N</v>
          </cell>
          <cell r="M19" t="str">
            <v>Yajahydis Altagracia Paniagua Santos</v>
          </cell>
          <cell r="N19" t="str">
            <v>(809)669-5987</v>
          </cell>
          <cell r="O19" t="str">
            <v>yajahydis13@hotmail.com</v>
          </cell>
          <cell r="P19" t="str">
            <v>2DO</v>
          </cell>
          <cell r="Q19">
            <v>1</v>
          </cell>
        </row>
        <row r="20">
          <cell r="H20" t="str">
            <v>Inaugurado</v>
          </cell>
          <cell r="I20">
            <v>0</v>
          </cell>
          <cell r="J20">
            <v>0</v>
          </cell>
          <cell r="K20" t="str">
            <v>19.368405, -69.847244</v>
          </cell>
          <cell r="L20" t="str">
            <v>1N</v>
          </cell>
          <cell r="M20" t="str">
            <v>Guillermo odríguez de Jesús</v>
          </cell>
          <cell r="N20">
            <v>0</v>
          </cell>
          <cell r="P20" t="str">
            <v>1ER</v>
          </cell>
          <cell r="Q20">
            <v>1</v>
          </cell>
        </row>
        <row r="21">
          <cell r="H21" t="str">
            <v>Inaugurado</v>
          </cell>
          <cell r="I21">
            <v>0</v>
          </cell>
          <cell r="J21">
            <v>0</v>
          </cell>
          <cell r="K21" t="str">
            <v>19.213092, -69.333526</v>
          </cell>
          <cell r="L21">
            <v>0</v>
          </cell>
          <cell r="M21" t="str">
            <v>Juan Selman Geara</v>
          </cell>
          <cell r="N21">
            <v>0</v>
          </cell>
          <cell r="P21" t="str">
            <v>1ER</v>
          </cell>
          <cell r="Q21">
            <v>1</v>
          </cell>
        </row>
        <row r="22">
          <cell r="H22" t="str">
            <v>En Construcción</v>
          </cell>
          <cell r="J22" t="str">
            <v>CAIPI en construcción. Se trabaja en el vaciado de la platea</v>
          </cell>
          <cell r="K22" t="str">
            <v>19.232079, -69.608828</v>
          </cell>
          <cell r="L22" t="str">
            <v>2N</v>
          </cell>
          <cell r="M22" t="str">
            <v>Alexis Santiago Monegro Antigua</v>
          </cell>
          <cell r="N22" t="str">
            <v>(829)356-7687</v>
          </cell>
          <cell r="O22" t="str">
            <v>alexis8303@hotmail.com</v>
          </cell>
          <cell r="P22" t="str">
            <v>2DO</v>
          </cell>
          <cell r="Q22">
            <v>0.09</v>
          </cell>
        </row>
        <row r="23">
          <cell r="H23" t="str">
            <v>Detenido</v>
          </cell>
          <cell r="I23">
            <v>0</v>
          </cell>
          <cell r="J23" t="str">
            <v>CAIPI detenido. La contratista fue notificada por la supervisión por cuarta vez ya que no justifica porque los trabajos están paralizados, solo ha realizado vaciado de zapata</v>
          </cell>
          <cell r="K23" t="str">
            <v>19.307445, -69.546611</v>
          </cell>
          <cell r="L23" t="str">
            <v>2N</v>
          </cell>
          <cell r="M23" t="str">
            <v>Kennia Alicia Lalane Matos</v>
          </cell>
          <cell r="N23" t="str">
            <v>(809)858-6234</v>
          </cell>
          <cell r="O23" t="str">
            <v>alicialalane@yahoo.com</v>
          </cell>
          <cell r="P23" t="str">
            <v>2DO</v>
          </cell>
          <cell r="Q23">
            <v>0.08</v>
          </cell>
        </row>
        <row r="24">
          <cell r="H24" t="str">
            <v>Inaugurado</v>
          </cell>
          <cell r="I24">
            <v>0</v>
          </cell>
          <cell r="J24">
            <v>0</v>
          </cell>
          <cell r="K24" t="str">
            <v>19.228279, -70.543593</v>
          </cell>
          <cell r="L24" t="str">
            <v>2N</v>
          </cell>
          <cell r="M24" t="str">
            <v>Bernardo de Jesús Andújar Paulino</v>
          </cell>
          <cell r="N24" t="str">
            <v>829-920-3142 / 809-543-4804</v>
          </cell>
          <cell r="O24" t="str">
            <v>andujarng8@hotmail.com</v>
          </cell>
          <cell r="P24" t="str">
            <v>1ER</v>
          </cell>
          <cell r="Q24">
            <v>1</v>
          </cell>
        </row>
        <row r="25">
          <cell r="H25" t="str">
            <v>Inaugurado</v>
          </cell>
          <cell r="I25">
            <v>0</v>
          </cell>
          <cell r="J25">
            <v>0</v>
          </cell>
          <cell r="K25" t="str">
            <v>19.222638, -70.506713</v>
          </cell>
          <cell r="L25" t="str">
            <v>2N</v>
          </cell>
          <cell r="M25" t="str">
            <v>Gregoruio Almánzar Jiménez</v>
          </cell>
          <cell r="N25">
            <v>0</v>
          </cell>
          <cell r="P25" t="str">
            <v>1ER</v>
          </cell>
          <cell r="Q25">
            <v>1</v>
          </cell>
        </row>
        <row r="26">
          <cell r="H26" t="str">
            <v>Detenido pago cubicación</v>
          </cell>
          <cell r="I26">
            <v>0</v>
          </cell>
          <cell r="J26" t="str">
            <v>CAIPI detenido. El contratista informa que el proyecto está detenido desde noviembre 2019 por falta de dos pagos de cubicación. Están colocado las tejas menos en la casona</v>
          </cell>
          <cell r="K26" t="str">
            <v>19.228279, -70.543593</v>
          </cell>
          <cell r="L26" t="str">
            <v>1N</v>
          </cell>
          <cell r="M26" t="str">
            <v>MALCAA, SRL /Arq. Néstor Almonte</v>
          </cell>
          <cell r="N26" t="str">
            <v>809-890-3303</v>
          </cell>
          <cell r="O26" t="str">
            <v>nestor_almonte@hotmail.com</v>
          </cell>
          <cell r="P26" t="str">
            <v>1ER</v>
          </cell>
          <cell r="Q26">
            <v>0.73</v>
          </cell>
        </row>
        <row r="27">
          <cell r="H27" t="str">
            <v>Detenido</v>
          </cell>
          <cell r="J27" t="str">
            <v>CAIPI detenido. Este contratista tiene detenidos los trabajos sin justificación, aduce que esperar cambio de autoridades en el MOPC.</v>
          </cell>
          <cell r="K27" t="str">
            <v>19.209223, -70.536748</v>
          </cell>
          <cell r="L27" t="str">
            <v>1N</v>
          </cell>
          <cell r="M27" t="str">
            <v>Luis Pereyra/Félix Tavarez Disla</v>
          </cell>
          <cell r="N27" t="str">
            <v>809-909-1373/ 829-864-6049</v>
          </cell>
          <cell r="O27" t="str">
            <v>anthonycolon01@hotmail.com</v>
          </cell>
          <cell r="P27" t="str">
            <v>2DO</v>
          </cell>
          <cell r="Q27">
            <v>0.05</v>
          </cell>
        </row>
        <row r="28">
          <cell r="H28" t="str">
            <v>Detenido</v>
          </cell>
          <cell r="J28" t="str">
            <v>CAIPI detenido por cubicación. A nivel de pintura de base,  espera pago de cubicación. Sigue pendiente la modificación de la cocina.</v>
          </cell>
          <cell r="K28" t="str">
            <v>19.216457, -70.537360</v>
          </cell>
          <cell r="L28" t="str">
            <v>1N</v>
          </cell>
          <cell r="M28" t="str">
            <v>Ivan Ignacio de Los Santos Javier/ Ing. Antonio Colón</v>
          </cell>
          <cell r="N28" t="str">
            <v>(829)891-0579</v>
          </cell>
          <cell r="P28" t="str">
            <v>2DO</v>
          </cell>
          <cell r="Q28">
            <v>0.8</v>
          </cell>
        </row>
        <row r="29">
          <cell r="H29" t="str">
            <v>Inaugurado</v>
          </cell>
          <cell r="I29">
            <v>0</v>
          </cell>
          <cell r="J29" t="str">
            <v>CAIPI Inaugurado. Queda pendiente la garita para el portero, dadas las condiciones del clima y la distancia del acceso a la casona.</v>
          </cell>
          <cell r="K29" t="str">
            <v>18.904280, -70.751346</v>
          </cell>
          <cell r="L29" t="str">
            <v>1N</v>
          </cell>
          <cell r="M29" t="str">
            <v>Liceló Vásquez Tineo</v>
          </cell>
          <cell r="N29" t="str">
            <v>(809)973-8885</v>
          </cell>
          <cell r="O29" t="str">
            <v>lvasquezt@gmail.com</v>
          </cell>
          <cell r="P29" t="str">
            <v>2DO</v>
          </cell>
          <cell r="Q29">
            <v>1</v>
          </cell>
        </row>
        <row r="30">
          <cell r="H30" t="str">
            <v>Detenido por planos</v>
          </cell>
          <cell r="J30" t="str">
            <v xml:space="preserve">CAIPI detenido por planos. Se realizó el levantamiento topográfico y el lunes 7 de enero 2020 se ratificaron algunos puntos. </v>
          </cell>
          <cell r="K30" t="str">
            <v>19.123141, -70.638947</v>
          </cell>
          <cell r="L30" t="str">
            <v>2N</v>
          </cell>
          <cell r="M30" t="str">
            <v>Disconart Diseño y Construcción, SRL/ Kirson Rosario</v>
          </cell>
          <cell r="N30" t="str">
            <v>(809)712-8200/ (809)443-0555</v>
          </cell>
          <cell r="O30" t="str">
            <v>disconart.dca@gmail.com</v>
          </cell>
          <cell r="P30" t="str">
            <v>2DO</v>
          </cell>
          <cell r="Q30">
            <v>0</v>
          </cell>
        </row>
        <row r="31">
          <cell r="H31" t="str">
            <v>Detenido</v>
          </cell>
          <cell r="I31">
            <v>0</v>
          </cell>
          <cell r="J31" t="str">
            <v>CAIPI detenido. El proyecto está detenido desde noviembre del 2019, El contratista dice que está detenido por pago de cubicación, aunque debe la línea de crédito por lo que en realidad está descapitalizado nueva vez.  Sigue pendiente la modificación de la cocina..</v>
          </cell>
          <cell r="K31" t="str">
            <v>19.062675, -70.145236</v>
          </cell>
          <cell r="L31" t="str">
            <v>2N</v>
          </cell>
          <cell r="M31" t="str">
            <v>CARLOS  TAVARES ACOSTA</v>
          </cell>
          <cell r="N31" t="str">
            <v>(829)731-7323 / (829)452-6807</v>
          </cell>
          <cell r="O31" t="str">
            <v>carloselche78@hotmail.com</v>
          </cell>
          <cell r="P31" t="str">
            <v>1ER</v>
          </cell>
          <cell r="Q31">
            <v>0.53</v>
          </cell>
        </row>
        <row r="32">
          <cell r="H32" t="str">
            <v>Sin Iniciar</v>
          </cell>
          <cell r="I32" t="str">
            <v xml:space="preserve">Con Propuesta </v>
          </cell>
          <cell r="K32" t="str">
            <v>19.117763, -70.293691</v>
          </cell>
          <cell r="L32">
            <v>0</v>
          </cell>
          <cell r="M32" t="str">
            <v>INGETECTURA SRL/Fco Sánchez Mena</v>
          </cell>
          <cell r="N32" t="str">
            <v>(829)279-9958</v>
          </cell>
          <cell r="O32" t="str">
            <v>ingetectura@hotmail.com</v>
          </cell>
          <cell r="P32" t="str">
            <v>2DO</v>
          </cell>
          <cell r="Q32">
            <v>0</v>
          </cell>
        </row>
        <row r="33">
          <cell r="H33" t="str">
            <v>En Construcción</v>
          </cell>
          <cell r="I33">
            <v>0</v>
          </cell>
          <cell r="J33" t="str">
            <v>CAIPI en construcción. Se trabaja en un tramo de muro de protección en la parte posterior de la verja perimetral</v>
          </cell>
          <cell r="K33" t="str">
            <v>19.037779, -70.149914</v>
          </cell>
          <cell r="L33">
            <v>0</v>
          </cell>
          <cell r="M33" t="str">
            <v>Jhonny Wilfredo Pérez Arias</v>
          </cell>
          <cell r="N33" t="str">
            <v>(809)627-2526</v>
          </cell>
          <cell r="O33" t="str">
            <v>johnnypereza@outlook.com</v>
          </cell>
          <cell r="P33" t="str">
            <v>2DO</v>
          </cell>
          <cell r="Q33">
            <v>0.06</v>
          </cell>
        </row>
        <row r="34">
          <cell r="H34" t="str">
            <v>Sin Iniciar</v>
          </cell>
          <cell r="I34" t="str">
            <v xml:space="preserve">Con Propuesta </v>
          </cell>
          <cell r="K34" t="str">
            <v>19.245330, -70.557983</v>
          </cell>
          <cell r="L34">
            <v>0</v>
          </cell>
          <cell r="M34" t="str">
            <v>Const.y Serv. Mejia SRL/Joselito Mejía</v>
          </cell>
          <cell r="N34" t="str">
            <v>(809)705-3624</v>
          </cell>
          <cell r="O34" t="str">
            <v>mejia3124@gmail.com</v>
          </cell>
          <cell r="P34" t="str">
            <v>2DO</v>
          </cell>
          <cell r="Q34">
            <v>0</v>
          </cell>
        </row>
        <row r="35">
          <cell r="H35" t="str">
            <v>Sin Iniciar</v>
          </cell>
          <cell r="I35" t="str">
            <v xml:space="preserve">Con Propuesta </v>
          </cell>
          <cell r="J35" t="str">
            <v xml:space="preserve">  </v>
          </cell>
          <cell r="K35" t="str">
            <v xml:space="preserve"> 19.372709, -70.355916</v>
          </cell>
          <cell r="L35">
            <v>0</v>
          </cell>
          <cell r="M35" t="str">
            <v>MIDRIAN YLUMINADA SALAS REYES</v>
          </cell>
          <cell r="N35" t="str">
            <v>(809)696-6069</v>
          </cell>
          <cell r="O35" t="str">
            <v>arq.jesusnunez@gmail.com</v>
          </cell>
          <cell r="P35" t="str">
            <v>1ER</v>
          </cell>
          <cell r="Q35">
            <v>0</v>
          </cell>
        </row>
        <row r="36">
          <cell r="H36" t="str">
            <v>Sin Iniciar</v>
          </cell>
          <cell r="I36" t="str">
            <v xml:space="preserve">Con Propuesta </v>
          </cell>
          <cell r="K36" t="str">
            <v>19.129734, -70.373202</v>
          </cell>
          <cell r="L36">
            <v>0</v>
          </cell>
          <cell r="M36" t="str">
            <v>Torres Ingenieria, SRL / Juan José Torres</v>
          </cell>
          <cell r="P36" t="str">
            <v>2DO</v>
          </cell>
          <cell r="Q36">
            <v>0</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Nolis Jáquez Sep"/>
      <sheetName val="Matriz Mensual Nolis Jáquez Ago"/>
    </sheetNames>
    <sheetDataSet>
      <sheetData sheetId="0"/>
      <sheetData sheetId="1">
        <row r="10">
          <cell r="H10" t="str">
            <v>Sin Iniciar</v>
          </cell>
          <cell r="I10" t="str">
            <v xml:space="preserve">Negociado </v>
          </cell>
          <cell r="J10" t="str">
            <v>CAIPI sin iniciar. Este contartista fue posesionado desde mediado del 2019 , sin embargo aún no tiene el avancen para iniciar los trabajos.</v>
          </cell>
          <cell r="K10">
            <v>0</v>
          </cell>
          <cell r="L10">
            <v>0</v>
          </cell>
          <cell r="M10" t="str">
            <v>Jonatan Enmanuel Paula Taveras</v>
          </cell>
          <cell r="N10" t="str">
            <v>(809)501-0811</v>
          </cell>
          <cell r="O10" t="str">
            <v>jonatanpaula3@gmail.com</v>
          </cell>
          <cell r="P10" t="str">
            <v>2DO</v>
          </cell>
          <cell r="Q10">
            <v>0</v>
          </cell>
        </row>
        <row r="11">
          <cell r="H11" t="str">
            <v>Inaugurado</v>
          </cell>
          <cell r="I11">
            <v>0</v>
          </cell>
          <cell r="J11">
            <v>0</v>
          </cell>
          <cell r="K11">
            <v>0</v>
          </cell>
          <cell r="L11" t="str">
            <v>1N</v>
          </cell>
          <cell r="M11" t="str">
            <v>Altagracia Severino Comprés</v>
          </cell>
          <cell r="N11">
            <v>0</v>
          </cell>
          <cell r="O11">
            <v>0</v>
          </cell>
          <cell r="P11" t="str">
            <v>1ER</v>
          </cell>
          <cell r="Q11">
            <v>1</v>
          </cell>
        </row>
        <row r="12">
          <cell r="H12" t="str">
            <v>Detenido</v>
          </cell>
          <cell r="I12">
            <v>0</v>
          </cell>
          <cell r="J12" t="str">
            <v xml:space="preserve">CAIPI detenido. La contratista tomó la decisión de paralizar desde inicio de agosto los trabajos por el contagio de 2 empleados de COVID 19, está planificando reiniciar a principio de octubre.  Antes de paralizar colocó block a los módulos de 3-4 y 4-5 a nivel de viga de piso y vació zapata del módulo de 2-3. Tiene cubicación pendiente desde finales de junio, aunque tiene dinero del avance, para trabajar. </v>
          </cell>
          <cell r="K12" t="str">
            <v xml:space="preserve"> 18.9306620, -70.3957940</v>
          </cell>
          <cell r="L12" t="str">
            <v>1N</v>
          </cell>
          <cell r="M12" t="str">
            <v>Carmen Margarita Medina Peña</v>
          </cell>
          <cell r="N12" t="str">
            <v>(809)504-6000</v>
          </cell>
          <cell r="O12" t="str">
            <v>ingmaggiemed@hotmail.com</v>
          </cell>
          <cell r="P12" t="str">
            <v>2DO</v>
          </cell>
          <cell r="Q12">
            <v>0.1</v>
          </cell>
        </row>
        <row r="13">
          <cell r="H13" t="str">
            <v>Detenido</v>
          </cell>
          <cell r="I13">
            <v>0</v>
          </cell>
          <cell r="J13" t="str">
            <v xml:space="preserve">CAIPI detenido. Esta contratista había solicitado una revisión del movimiento de tierra, para eso fines le solicitaron hacer calicatas que no estuvo dispuesta a realizar y por tanto la OISOE y la MINERD exigía esta metodología para la comprobación de dicho reclamo de revisión del movimiento de tierra.  Antes de paralizarse, estaba en fase final (Con una mano de pintura de colores y el aérea de jardinería por realizar). Realizó trabajos de acera frontal y modificación acceso lateral, construcción del muro posterior y área exterior. La supervisión (OISOE) tiene pendiente la solución al filtrante y destino final del sistema hidráulico incluyendo la bomba sumergible de agua potable y las modificaciones en la cocina, de acuerdo con los requerimientos del INAIPI, </v>
          </cell>
          <cell r="K13" t="str">
            <v>18.8154573, -69.7778905</v>
          </cell>
          <cell r="L13" t="str">
            <v>1N</v>
          </cell>
          <cell r="M13" t="str">
            <v>Raquel Reyes Portorreal</v>
          </cell>
          <cell r="N13" t="str">
            <v>809-708-5455</v>
          </cell>
          <cell r="O13" t="str">
            <v>vivaraquelreyes@gmail.com</v>
          </cell>
          <cell r="P13" t="str">
            <v>1ER</v>
          </cell>
          <cell r="Q13">
            <v>0.94</v>
          </cell>
        </row>
        <row r="14">
          <cell r="H14" t="str">
            <v>Detenido</v>
          </cell>
          <cell r="I14">
            <v>0</v>
          </cell>
          <cell r="J14" t="str">
            <v>CAIPI detenido sin justificación. Este socio del contratista detenido sin justificación a pesar que recibió pago de la cubicación antes de mayo 2020, sin embargo, decidió no reiniciar los trabajos primero por la pandemia, luego por las elecciones y finalmente ahora espera asignación de nueva administración gobierno.</v>
          </cell>
          <cell r="K14" t="str">
            <v>18.809001, -69.793589</v>
          </cell>
          <cell r="L14" t="str">
            <v>1N</v>
          </cell>
          <cell r="M14" t="str">
            <v>Juan Ramon Natera Sosa</v>
          </cell>
          <cell r="N14" t="str">
            <v>(809)258-0126</v>
          </cell>
          <cell r="O14" t="str">
            <v>arqjnatera@gmail.com</v>
          </cell>
          <cell r="P14" t="str">
            <v>2DO</v>
          </cell>
          <cell r="Q14">
            <v>7.0000000000000007E-2</v>
          </cell>
        </row>
        <row r="15">
          <cell r="H15" t="str">
            <v>Inaugurado</v>
          </cell>
          <cell r="I15">
            <v>0</v>
          </cell>
          <cell r="J15" t="str">
            <v>Inaugurado el dia 9 de julio 2019</v>
          </cell>
          <cell r="K15" t="str">
            <v>18.754391, -69.628817</v>
          </cell>
          <cell r="L15" t="str">
            <v>1N</v>
          </cell>
          <cell r="M15" t="str">
            <v>Yudelka A. Trinidad G./Juan T. Rodriguez F.</v>
          </cell>
          <cell r="N15">
            <v>0</v>
          </cell>
          <cell r="O15" t="str">
            <v>constructorarocasa@hotmail.com</v>
          </cell>
          <cell r="P15" t="str">
            <v>2DO</v>
          </cell>
          <cell r="Q15">
            <v>1</v>
          </cell>
        </row>
        <row r="17">
          <cell r="H17" t="str">
            <v>Detenido</v>
          </cell>
          <cell r="I17">
            <v>0</v>
          </cell>
          <cell r="J17" t="str">
            <v>CAIPI detenido. Está contratista no tiene cubicacion pendiente y dice no tener recurso para continuar los trabajos., ha solicitado revisón de cubicación, antes de paralizarse colocó tejas en el edificio, vacio losa de la caseta de bomba y la garita del seguridad,  colocó los pisos de fondo gris y pañetó muro de verja.  Esta pendiente diseñar la escalera de srvicio de acceso a la azotea.</v>
          </cell>
          <cell r="K17" t="str">
            <v>18.7676620,-70.0237730</v>
          </cell>
          <cell r="L17" t="str">
            <v>2N</v>
          </cell>
          <cell r="M17" t="str">
            <v>Nellely Martinez Castro</v>
          </cell>
          <cell r="N17" t="str">
            <v>(809)848-8496</v>
          </cell>
          <cell r="O17" t="str">
            <v>nelle192@hotmail.com</v>
          </cell>
          <cell r="P17" t="str">
            <v>2DO</v>
          </cell>
          <cell r="Q17">
            <v>0.71</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Isania Muñoz Sep. 2020"/>
      <sheetName val="Hoja1"/>
      <sheetName val="´Resumen Isania Muñoz Agos 2020"/>
    </sheetNames>
    <sheetDataSet>
      <sheetData sheetId="0"/>
      <sheetData sheetId="1">
        <row r="10">
          <cell r="H10" t="str">
            <v>Detenido</v>
          </cell>
          <cell r="I10">
            <v>0</v>
          </cell>
          <cell r="J10" t="str">
            <v xml:space="preserve">CAIPI detenido. Se rescindió el contrato desde aproximadamente diciembre del 2018. Fue adjudicado al 2do lugar del sorteo, Sr Darío Jiménez, quien aún no ha sido puesto en posesión en espera de avance.  </v>
          </cell>
          <cell r="K10" t="str">
            <v>19.536224, -71.703302</v>
          </cell>
          <cell r="L10" t="str">
            <v>1N</v>
          </cell>
          <cell r="M10" t="str">
            <v>Darío Jiménez</v>
          </cell>
          <cell r="N10">
            <v>0</v>
          </cell>
          <cell r="O10">
            <v>0</v>
          </cell>
          <cell r="P10" t="str">
            <v>1ER</v>
          </cell>
          <cell r="Q10">
            <v>0.52</v>
          </cell>
        </row>
        <row r="11">
          <cell r="H11" t="str">
            <v>Detenido</v>
          </cell>
          <cell r="I11">
            <v>0</v>
          </cell>
          <cell r="J11" t="str">
            <v>CAIPI detenido por falta de liquidez, desde mayo 2019. Alega no tener recursos para continuar (reclama revisión precio hormigón losa inclinada). Tiene ambas losas vaciadas.</v>
          </cell>
          <cell r="K11" t="str">
            <v>19.553611, -71.700570</v>
          </cell>
          <cell r="L11" t="str">
            <v>2N</v>
          </cell>
          <cell r="M11" t="str">
            <v>Const. Andújar Cambero &amp; Asoc. SRL/F. Andújar</v>
          </cell>
          <cell r="N11" t="str">
            <v>(809)396-7250</v>
          </cell>
          <cell r="O11" t="str">
            <v>juniorandujar2020@hotmail.com</v>
          </cell>
          <cell r="P11" t="str">
            <v>2DO</v>
          </cell>
          <cell r="Q11">
            <v>0.5</v>
          </cell>
        </row>
        <row r="12">
          <cell r="H12" t="str">
            <v>Sin Iniciar</v>
          </cell>
          <cell r="I12" t="str">
            <v xml:space="preserve">Sin Propuesta </v>
          </cell>
          <cell r="J12">
            <v>0</v>
          </cell>
          <cell r="K12">
            <v>0</v>
          </cell>
          <cell r="L12">
            <v>0</v>
          </cell>
          <cell r="M12" t="str">
            <v>Joan Alexander Hernández Valdez</v>
          </cell>
          <cell r="N12">
            <v>0</v>
          </cell>
          <cell r="O12">
            <v>0</v>
          </cell>
          <cell r="P12" t="str">
            <v>2DO</v>
          </cell>
          <cell r="Q12">
            <v>0</v>
          </cell>
        </row>
        <row r="13">
          <cell r="H13" t="str">
            <v>Sin Iniciar</v>
          </cell>
          <cell r="I13" t="str">
            <v xml:space="preserve">Sin Propuesta </v>
          </cell>
          <cell r="J13" t="str">
            <v>Trasladado desde Padre Granero.</v>
          </cell>
          <cell r="K13">
            <v>0</v>
          </cell>
          <cell r="L13">
            <v>0</v>
          </cell>
          <cell r="M13" t="str">
            <v>Constructora Hache Bordas, SRL.</v>
          </cell>
          <cell r="N13">
            <v>8095712415</v>
          </cell>
          <cell r="O13" t="str">
            <v>c.hachebordas@gmail.com</v>
          </cell>
          <cell r="P13" t="str">
            <v>1ER</v>
          </cell>
          <cell r="Q13">
            <v>0</v>
          </cell>
        </row>
        <row r="14">
          <cell r="H14" t="str">
            <v>Inaugurado</v>
          </cell>
          <cell r="I14">
            <v>0</v>
          </cell>
          <cell r="J14">
            <v>0</v>
          </cell>
          <cell r="K14" t="str">
            <v>19.791108, -70.722610</v>
          </cell>
          <cell r="L14" t="str">
            <v>1N</v>
          </cell>
          <cell r="M14" t="str">
            <v>Winstong Abel Peña Terrero</v>
          </cell>
          <cell r="N14">
            <v>8092719989</v>
          </cell>
          <cell r="O14" t="str">
            <v>epsa77@aol.com</v>
          </cell>
          <cell r="P14" t="str">
            <v>1ER</v>
          </cell>
          <cell r="Q14">
            <v>1</v>
          </cell>
        </row>
        <row r="15">
          <cell r="H15" t="str">
            <v>Detenido por planos</v>
          </cell>
          <cell r="I15">
            <v>0</v>
          </cell>
          <cell r="J15" t="str">
            <v xml:space="preserve">CAIPI detenido por planos desde octubre 2019. Se realizó el levantamiento topográfico, está a la espera de la solución hidráulica para iniciar movimiento de tierra. </v>
          </cell>
          <cell r="K15" t="str">
            <v>19.790576, -70.695286</v>
          </cell>
          <cell r="L15">
            <v>0</v>
          </cell>
          <cell r="M15" t="str">
            <v>DiógenesPartenio VargasFermín</v>
          </cell>
          <cell r="N15">
            <v>8093999852</v>
          </cell>
          <cell r="O15" t="str">
            <v>dpvargasf@gmail.com</v>
          </cell>
          <cell r="P15" t="str">
            <v>1ER</v>
          </cell>
          <cell r="Q15">
            <v>0</v>
          </cell>
        </row>
        <row r="16">
          <cell r="H16" t="str">
            <v>Detenido pago cubicación</v>
          </cell>
          <cell r="I16">
            <v>0</v>
          </cell>
          <cell r="J16" t="str">
            <v xml:space="preserve">CAIPI detenido por cubicación. Paralizada desde el 5 de marzo del 2020, se encuentra a nivel de losa de entre piso, a la espera de pago de las cubicaciones 5 y 6. </v>
          </cell>
          <cell r="K16" t="str">
            <v>19.779470, -70.692112</v>
          </cell>
          <cell r="L16" t="str">
            <v>2N</v>
          </cell>
          <cell r="M16" t="str">
            <v>Cristhian Emilio Peralta Peralta</v>
          </cell>
          <cell r="N16" t="str">
            <v>(829)669-6197</v>
          </cell>
          <cell r="O16" t="str">
            <v>cristhian_peralta01@gmail.com</v>
          </cell>
          <cell r="P16" t="str">
            <v>2DO</v>
          </cell>
          <cell r="Q16">
            <v>0.3</v>
          </cell>
        </row>
        <row r="17">
          <cell r="H17" t="str">
            <v>Sin Iniciar</v>
          </cell>
          <cell r="I17" t="str">
            <v xml:space="preserve">Con Propuesta </v>
          </cell>
          <cell r="J17">
            <v>0</v>
          </cell>
          <cell r="K17">
            <v>0</v>
          </cell>
          <cell r="L17">
            <v>0</v>
          </cell>
          <cell r="M17" t="str">
            <v>Priscilla Antonio Didiez</v>
          </cell>
          <cell r="N17" t="str">
            <v>849 859 0991</v>
          </cell>
          <cell r="O17" t="str">
            <v>ingpriscillaantonio@hotmail.com</v>
          </cell>
          <cell r="P17" t="str">
            <v>1ER</v>
          </cell>
          <cell r="Q17">
            <v>0</v>
          </cell>
        </row>
        <row r="18">
          <cell r="H18" t="str">
            <v>Sin Iniciar</v>
          </cell>
          <cell r="I18" t="str">
            <v xml:space="preserve">Sin Propuesta </v>
          </cell>
          <cell r="J18">
            <v>0</v>
          </cell>
          <cell r="K18">
            <v>0</v>
          </cell>
          <cell r="L18">
            <v>0</v>
          </cell>
          <cell r="M18" t="str">
            <v>Xiomara Polanco Tavarez</v>
          </cell>
          <cell r="N18" t="str">
            <v>(809)399-8996</v>
          </cell>
          <cell r="O18" t="str">
            <v>xiomypolanco@yahoo.com</v>
          </cell>
          <cell r="P18" t="str">
            <v>2DO</v>
          </cell>
          <cell r="Q18">
            <v>0</v>
          </cell>
        </row>
        <row r="19">
          <cell r="H19" t="str">
            <v>Inaugurado</v>
          </cell>
          <cell r="I19">
            <v>0</v>
          </cell>
          <cell r="J19" t="str">
            <v xml:space="preserve"> </v>
          </cell>
          <cell r="K19" t="str">
            <v>19.747422, -70.552109</v>
          </cell>
          <cell r="L19" t="str">
            <v>1N</v>
          </cell>
          <cell r="M19" t="str">
            <v>JOHANNA ESTHTER GIL VARGAS</v>
          </cell>
          <cell r="N19">
            <v>8099842027</v>
          </cell>
          <cell r="O19" t="str">
            <v>johannagil@hotmail.com</v>
          </cell>
          <cell r="P19" t="str">
            <v>1ER</v>
          </cell>
          <cell r="Q19">
            <v>1</v>
          </cell>
        </row>
        <row r="20">
          <cell r="H20" t="str">
            <v>Inaugurado</v>
          </cell>
          <cell r="I20">
            <v>0</v>
          </cell>
          <cell r="J20">
            <v>0</v>
          </cell>
          <cell r="K20">
            <v>0</v>
          </cell>
          <cell r="L20">
            <v>0</v>
          </cell>
          <cell r="M20" t="str">
            <v>Antonio Santos Rodríguez</v>
          </cell>
          <cell r="N20">
            <v>0</v>
          </cell>
          <cell r="O20">
            <v>0</v>
          </cell>
          <cell r="P20" t="str">
            <v>1ER</v>
          </cell>
          <cell r="Q20">
            <v>1</v>
          </cell>
        </row>
        <row r="21">
          <cell r="H21" t="str">
            <v>Detenido pago cubicación</v>
          </cell>
          <cell r="I21">
            <v>0</v>
          </cell>
          <cell r="J21" t="str">
            <v>CAIPI detenido desde el 25/08/2019. Se encuentra a nivel de primera mano de pintura final. La sociedad entre el contratista y el Ing. Luis Cruz fue disuelta. La misma se había llevado a cabo para solucionar el problema de liquidez de la obra. El contratista ha expresado la intención de entregar la obra al MINERD.</v>
          </cell>
          <cell r="K21" t="str">
            <v>19.476111, -70.741788</v>
          </cell>
          <cell r="L21" t="str">
            <v>1N</v>
          </cell>
          <cell r="M21" t="str">
            <v>RAFAEL MARINO QUIÑONES PEGUERO</v>
          </cell>
          <cell r="N21">
            <v>8098559332</v>
          </cell>
          <cell r="O21" t="str">
            <v>rafaelquinones2518@hotmail.com</v>
          </cell>
          <cell r="P21" t="str">
            <v>1ER</v>
          </cell>
          <cell r="Q21">
            <v>0.75</v>
          </cell>
        </row>
        <row r="22">
          <cell r="H22" t="str">
            <v>Inaugurado</v>
          </cell>
          <cell r="I22">
            <v>0</v>
          </cell>
          <cell r="J22">
            <v>0</v>
          </cell>
          <cell r="K22" t="str">
            <v>19.4854850, -70.7313900</v>
          </cell>
          <cell r="L22" t="str">
            <v>1N</v>
          </cell>
          <cell r="M22" t="str">
            <v>Francisco Alberto Pereyra Cabrera</v>
          </cell>
          <cell r="N22" t="str">
            <v>(829)884-8084</v>
          </cell>
          <cell r="O22" t="str">
            <v>franciscopereyra@hotmail.es</v>
          </cell>
          <cell r="P22" t="str">
            <v>2DO</v>
          </cell>
          <cell r="Q22">
            <v>1</v>
          </cell>
        </row>
        <row r="23">
          <cell r="H23" t="str">
            <v>Inaugurado</v>
          </cell>
          <cell r="I23">
            <v>0</v>
          </cell>
          <cell r="J23">
            <v>0</v>
          </cell>
          <cell r="K23">
            <v>0</v>
          </cell>
          <cell r="L23">
            <v>0</v>
          </cell>
          <cell r="M23" t="str">
            <v>Fernando Peralta</v>
          </cell>
          <cell r="N23">
            <v>0</v>
          </cell>
          <cell r="O23">
            <v>0</v>
          </cell>
          <cell r="P23" t="str">
            <v>1ER</v>
          </cell>
          <cell r="Q23">
            <v>1</v>
          </cell>
        </row>
        <row r="24">
          <cell r="H24" t="str">
            <v>Detenido</v>
          </cell>
          <cell r="I24">
            <v>0</v>
          </cell>
          <cell r="J24" t="str">
            <v>CAIPI detenido. Tiene vaciado las losas de los módulos de 2-a y 4-5. Detenido desde el 6 de enero del 2020, por tal razón la supervisión notificó al MINERD porque este no amortizado el avance y por ende debe tener recursos para trabajar.</v>
          </cell>
          <cell r="K24" t="str">
            <v>19.480213, -70.680745</v>
          </cell>
          <cell r="L24" t="str">
            <v>1N</v>
          </cell>
          <cell r="M24" t="str">
            <v>Leonardo Santos Beliaeva</v>
          </cell>
          <cell r="N24">
            <v>8097108402</v>
          </cell>
          <cell r="O24" t="str">
            <v>ing.consudom.@gmail.com</v>
          </cell>
          <cell r="P24" t="str">
            <v>1ER</v>
          </cell>
          <cell r="Q24">
            <v>0.36</v>
          </cell>
        </row>
        <row r="25">
          <cell r="H25" t="str">
            <v>Detenido pago cubicación</v>
          </cell>
          <cell r="I25">
            <v>0</v>
          </cell>
          <cell r="J25" t="str">
            <v>CAIPI detenido. Se detuvo el 16 de junio 2020, por falta de recurso, al no recibir el pago de la primera cubicación debido a que el movimiento de tierra está a la espera de la aprobación del MINERD.</v>
          </cell>
          <cell r="K25" t="str">
            <v>19.432894, -70.683991</v>
          </cell>
          <cell r="L25">
            <v>0</v>
          </cell>
          <cell r="M25" t="str">
            <v>Miguel Adams Torres Martínez</v>
          </cell>
          <cell r="N25" t="str">
            <v>(809)223-6905</v>
          </cell>
          <cell r="O25" t="str">
            <v>arqadamstorres@gmail.com</v>
          </cell>
          <cell r="P25" t="str">
            <v>2DO</v>
          </cell>
          <cell r="Q25">
            <v>0.16</v>
          </cell>
        </row>
        <row r="26">
          <cell r="H26" t="str">
            <v>Detenido</v>
          </cell>
          <cell r="I26">
            <v>0</v>
          </cell>
          <cell r="J26" t="str">
            <v>CAIPI detenido desde agosto de 2020. Se encuentra con primera mano de pintura de colores en ambos pisos.</v>
          </cell>
          <cell r="K26" t="str">
            <v>19.479506,-70.732264</v>
          </cell>
          <cell r="L26" t="str">
            <v>2N</v>
          </cell>
          <cell r="M26" t="str">
            <v xml:space="preserve">Oscar Marino Francisco Cabrera </v>
          </cell>
          <cell r="N26">
            <v>8094862027</v>
          </cell>
          <cell r="O26" t="str">
            <v>miguel.paulinodiaz@hotmail.com</v>
          </cell>
          <cell r="P26" t="str">
            <v>1ER</v>
          </cell>
          <cell r="Q26">
            <v>0.67</v>
          </cell>
        </row>
        <row r="27">
          <cell r="H27" t="str">
            <v>Inaugurado</v>
          </cell>
          <cell r="I27">
            <v>0</v>
          </cell>
          <cell r="J27">
            <v>0</v>
          </cell>
          <cell r="K27">
            <v>0</v>
          </cell>
          <cell r="L27">
            <v>0</v>
          </cell>
          <cell r="M27" t="str">
            <v>Yahaira Alt. Morfe Domínguez</v>
          </cell>
          <cell r="N27">
            <v>0</v>
          </cell>
          <cell r="O27">
            <v>0</v>
          </cell>
          <cell r="P27" t="str">
            <v>1ER</v>
          </cell>
          <cell r="Q27">
            <v>1</v>
          </cell>
        </row>
        <row r="28">
          <cell r="H28" t="str">
            <v>Sin Iniciar</v>
          </cell>
          <cell r="I28" t="str">
            <v xml:space="preserve">Con Propuesta </v>
          </cell>
          <cell r="J28">
            <v>0</v>
          </cell>
          <cell r="K28">
            <v>0</v>
          </cell>
          <cell r="L28">
            <v>0</v>
          </cell>
          <cell r="M28" t="str">
            <v>Víctor Emilio Carreras Bueno</v>
          </cell>
          <cell r="N28">
            <v>0</v>
          </cell>
          <cell r="O28" t="str">
            <v>victorbueno28@hotmail.com</v>
          </cell>
          <cell r="P28" t="str">
            <v>2DO</v>
          </cell>
          <cell r="Q28">
            <v>0</v>
          </cell>
        </row>
        <row r="29">
          <cell r="H29" t="str">
            <v>Detenido</v>
          </cell>
          <cell r="I29">
            <v>0</v>
          </cell>
          <cell r="J29" t="str">
            <v xml:space="preserve">CAIPI detenido desde el día 10/01/2019. Los resultados de los análisis de resistencia no fueron satisfactorio. La supervisión del MOPC le indicó que debe vaciar otra torta de hormigón para que alcance la resistencia. El contratista no ha cumplido con lo acordado y será puesto de rescinsión. </v>
          </cell>
          <cell r="K29" t="str">
            <v>19.477878, -70.814517</v>
          </cell>
          <cell r="L29" t="str">
            <v>1N</v>
          </cell>
          <cell r="M29" t="str">
            <v>Giovanny Bienvenido Rodríguez</v>
          </cell>
          <cell r="N29">
            <v>0</v>
          </cell>
          <cell r="O29" t="str">
            <v>m_salasreyes@hotmail.com</v>
          </cell>
          <cell r="P29" t="str">
            <v>2DO</v>
          </cell>
          <cell r="Q29">
            <v>0.2</v>
          </cell>
        </row>
        <row r="30">
          <cell r="H30" t="str">
            <v>Inaugurado</v>
          </cell>
          <cell r="I30">
            <v>0</v>
          </cell>
          <cell r="J30">
            <v>0</v>
          </cell>
          <cell r="K30">
            <v>0</v>
          </cell>
          <cell r="L30">
            <v>0</v>
          </cell>
          <cell r="M30" t="str">
            <v>SELVA PAOLA MUÑOZ MOREL</v>
          </cell>
          <cell r="N30">
            <v>8492056710</v>
          </cell>
          <cell r="O30" t="str">
            <v>selva_munoz@hotmail.com</v>
          </cell>
          <cell r="P30" t="str">
            <v>1ER</v>
          </cell>
          <cell r="Q30">
            <v>1</v>
          </cell>
        </row>
        <row r="31">
          <cell r="H31" t="str">
            <v>Inaugurado</v>
          </cell>
          <cell r="I31">
            <v>0</v>
          </cell>
          <cell r="J31">
            <v>0</v>
          </cell>
          <cell r="K31">
            <v>0</v>
          </cell>
          <cell r="L31">
            <v>0</v>
          </cell>
          <cell r="M31" t="str">
            <v>Manuel Ernesto Ortiz Durán</v>
          </cell>
          <cell r="N31">
            <v>0</v>
          </cell>
          <cell r="O31">
            <v>0</v>
          </cell>
          <cell r="P31" t="str">
            <v>1ER</v>
          </cell>
          <cell r="Q31">
            <v>1</v>
          </cell>
        </row>
        <row r="32">
          <cell r="H32" t="str">
            <v>Inaugurado</v>
          </cell>
          <cell r="I32">
            <v>0</v>
          </cell>
          <cell r="J32">
            <v>0</v>
          </cell>
          <cell r="K32">
            <v>0</v>
          </cell>
          <cell r="L32">
            <v>0</v>
          </cell>
          <cell r="M32" t="str">
            <v>Abraham D. de Jesús</v>
          </cell>
          <cell r="N32">
            <v>0</v>
          </cell>
          <cell r="O32">
            <v>0</v>
          </cell>
          <cell r="P32" t="str">
            <v>1ER</v>
          </cell>
          <cell r="Q32">
            <v>1</v>
          </cell>
        </row>
        <row r="33">
          <cell r="H33" t="str">
            <v>Detenido pago cubicación</v>
          </cell>
          <cell r="I33">
            <v>0</v>
          </cell>
          <cell r="J33" t="str">
            <v>CAIPI Detenido, desde el 19 de febrero del 2020. El contratista solicitó revisión del presupuesto del vaciado de la columna, alegando que el costo está por encima del presupuesto. Sólo queda pendiente el pago de un 30 % de la cubicación. Se le entregaron los detalles de la zapata de muro.  El contratista dice que está a la espera de la revisión.</v>
          </cell>
          <cell r="K33" t="str">
            <v>19.409690, -71.434408</v>
          </cell>
          <cell r="L33" t="str">
            <v>1N</v>
          </cell>
          <cell r="M33" t="str">
            <v>Cristian Cabrera</v>
          </cell>
          <cell r="N33">
            <v>0</v>
          </cell>
          <cell r="O33">
            <v>0</v>
          </cell>
          <cell r="P33" t="str">
            <v>2DO</v>
          </cell>
          <cell r="Q33">
            <v>0.2</v>
          </cell>
        </row>
        <row r="34">
          <cell r="H34" t="str">
            <v>Detenido</v>
          </cell>
          <cell r="I34">
            <v>0</v>
          </cell>
          <cell r="J34" t="str">
            <v>CAIPI detenido desde la segunda mitad de enero del 2020. Vacio losa de entrepiso, el Contratista recibió el pago de la cubicación pendiente y aún no ha reiniciado los trabajos.</v>
          </cell>
          <cell r="K34" t="str">
            <v>19.414347, -71.148909</v>
          </cell>
          <cell r="L34" t="str">
            <v>2N</v>
          </cell>
          <cell r="M34" t="str">
            <v>Teodoro Tejada</v>
          </cell>
          <cell r="N34" t="str">
            <v>809-390-6154</v>
          </cell>
          <cell r="O34" t="str">
            <v>victorbueno28@hotmail.com</v>
          </cell>
          <cell r="P34" t="str">
            <v>2DO</v>
          </cell>
          <cell r="Q34">
            <v>0.32</v>
          </cell>
        </row>
      </sheetData>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olis Jaquez" refreshedDate="43714.665790624997" createdVersion="5" refreshedVersion="6" minRefreshableVersion="3" recordCount="32" xr:uid="{00000000-000A-0000-FFFF-FFFF00000000}">
  <cacheSource type="worksheet">
    <worksheetSource ref="A5:N37" sheet="estado terrenos "/>
  </cacheSource>
  <cacheFields count="14">
    <cacheField name="PROVINCIA" numFmtId="0">
      <sharedItems count="38">
        <s v="AZUA"/>
        <s v="BAHORUCO"/>
        <s v="BARAHONA"/>
        <s v="DAJABÓN"/>
        <s v="DISTRITO NACIONAL"/>
        <s v="DUARTE"/>
        <s v="EL SEIBO"/>
        <s v="ELÍAS PIÑA"/>
        <s v="ESPAILLAT"/>
        <s v="HATO MAYOR"/>
        <s v="HERMANAS MIRABAL"/>
        <s v="INDEPENDENCIA "/>
        <s v="LA ALTAGRACIA"/>
        <s v="LA ROMANA"/>
        <s v="LA VEGA"/>
        <s v="MARÍA TRINIDAD SÁNCHEZ"/>
        <s v="MONSEÑOR NOUEL"/>
        <s v="MONTE CRISTI"/>
        <s v="MONTE PLATA"/>
        <s v="PEDERNALES"/>
        <s v="PERAVIA"/>
        <s v="PUERTO PLATA"/>
        <s v="SAMANÁ"/>
        <s v="SAN CRISTÓBAL"/>
        <s v="SAN JOSÉ DE OCOA"/>
        <s v="SAN JUAN"/>
        <s v="SAN PEDRO DE MACORÍS"/>
        <s v="SÁNCHEZ RAMÍREZ"/>
        <s v="SANTIAGO "/>
        <s v="SANTIAGO RODRÍGUEZ"/>
        <s v="SANTO DOMINGO"/>
        <s v="VALVERDE"/>
        <s v="SANTIAGO RODRIGUEZ" u="1"/>
        <s v="SANCHEZ RAMIREZ" u="1"/>
        <s v="SAMANA" u="1"/>
        <s v="SAN JOSE DE OCOA" u="1"/>
        <s v="MARIA TRINIDAD SANCHEZ" u="1"/>
        <s v="ELIAS PIÑA" u="1"/>
      </sharedItems>
    </cacheField>
    <cacheField name="CAIPI SORTEADO" numFmtId="0">
      <sharedItems containsSemiMixedTypes="0" containsString="0" containsNumber="1" containsInteger="1" minValue="1" maxValue="71"/>
    </cacheField>
    <cacheField name="CAIPI INAUGURADO" numFmtId="0">
      <sharedItems containsSemiMixedTypes="0" containsString="0" containsNumber="1" containsInteger="1" minValue="0" maxValue="18"/>
    </cacheField>
    <cacheField name="TOTAL CAIPI INICIADO " numFmtId="0">
      <sharedItems containsSemiMixedTypes="0" containsString="0" containsNumber="1" containsInteger="1" minValue="0" maxValue="42"/>
    </cacheField>
    <cacheField name="CAIPI INICIADO EN CONSTRUCCIÓN" numFmtId="0">
      <sharedItems containsSemiMixedTypes="0" containsString="0" containsNumber="1" containsInteger="1" minValue="0" maxValue="32"/>
    </cacheField>
    <cacheField name="CAIPI INICIADO / DETENIDO" numFmtId="0">
      <sharedItems containsSemiMixedTypes="0" containsString="0" containsNumber="1" containsInteger="1" minValue="0" maxValue="10"/>
    </cacheField>
    <cacheField name="TOTAL CAIPI SIN INICIAR" numFmtId="0">
      <sharedItems containsSemiMixedTypes="0" containsString="0" containsNumber="1" containsInteger="1" minValue="0" maxValue="15"/>
    </cacheField>
    <cacheField name="CAIPI SIN INICIAR /SIN  PROPUESTA TERRENO" numFmtId="0">
      <sharedItems containsSemiMixedTypes="0" containsString="0" containsNumber="1" containsInteger="1" minValue="0" maxValue="4"/>
    </cacheField>
    <cacheField name="CAIPI SIN INICIAR / CON PROPUESTA TERRENO" numFmtId="0">
      <sharedItems containsSemiMixedTypes="0" containsString="0" containsNumber="1" containsInteger="1" minValue="0" maxValue="11"/>
    </cacheField>
    <cacheField name="CAIPI SIN INICIAR / CON TERRENO EN NEGOCIACIÓN" numFmtId="0">
      <sharedItems containsSemiMixedTypes="0" containsString="0" containsNumber="1" containsInteger="1" minValue="0" maxValue="4"/>
    </cacheField>
    <cacheField name="&lt;=25%" numFmtId="0">
      <sharedItems containsSemiMixedTypes="0" containsString="0" containsNumber="1" containsInteger="1" minValue="0" maxValue="26"/>
    </cacheField>
    <cacheField name="Entre 26% y 50%" numFmtId="0">
      <sharedItems containsSemiMixedTypes="0" containsString="0" containsNumber="1" containsInteger="1" minValue="0" maxValue="5"/>
    </cacheField>
    <cacheField name="Entre 51% y 75%" numFmtId="0">
      <sharedItems containsSemiMixedTypes="0" containsString="0" containsNumber="1" containsInteger="1" minValue="0" maxValue="7"/>
    </cacheField>
    <cacheField name="Entre 76% y 99%" numFmtId="0">
      <sharedItems containsSemiMixedTypes="0" containsString="0" containsNumber="1" containsInteger="1" minValue="0"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n v="5"/>
    <n v="0"/>
    <n v="0"/>
    <n v="0"/>
    <n v="0"/>
    <n v="0"/>
    <n v="0"/>
    <n v="0"/>
    <n v="0"/>
    <n v="5"/>
    <n v="0"/>
    <n v="0"/>
    <n v="0"/>
  </r>
  <r>
    <x v="1"/>
    <n v="4"/>
    <n v="1"/>
    <n v="3"/>
    <n v="3"/>
    <n v="0"/>
    <n v="0"/>
    <n v="0"/>
    <n v="0"/>
    <n v="0"/>
    <n v="2"/>
    <n v="1"/>
    <n v="0"/>
    <n v="0"/>
  </r>
  <r>
    <x v="2"/>
    <n v="4"/>
    <n v="0"/>
    <n v="0"/>
    <n v="0"/>
    <n v="0"/>
    <n v="0"/>
    <n v="0"/>
    <n v="0"/>
    <n v="0"/>
    <n v="3"/>
    <n v="0"/>
    <n v="0"/>
    <n v="0"/>
  </r>
  <r>
    <x v="3"/>
    <n v="3"/>
    <n v="0"/>
    <n v="2"/>
    <n v="0"/>
    <n v="2"/>
    <n v="1"/>
    <n v="0"/>
    <n v="1"/>
    <n v="0"/>
    <n v="0"/>
    <n v="1"/>
    <n v="1"/>
    <n v="0"/>
  </r>
  <r>
    <x v="4"/>
    <n v="24"/>
    <n v="3"/>
    <n v="6"/>
    <n v="4"/>
    <n v="2"/>
    <n v="15"/>
    <n v="4"/>
    <n v="11"/>
    <n v="0"/>
    <n v="6"/>
    <n v="0"/>
    <n v="0"/>
    <n v="0"/>
  </r>
  <r>
    <x v="5"/>
    <n v="7"/>
    <n v="3"/>
    <n v="3"/>
    <n v="2"/>
    <n v="1"/>
    <n v="1"/>
    <n v="0"/>
    <n v="1"/>
    <n v="0"/>
    <n v="1"/>
    <n v="0"/>
    <n v="1"/>
    <n v="1"/>
  </r>
  <r>
    <x v="6"/>
    <n v="1"/>
    <n v="1"/>
    <n v="0"/>
    <n v="0"/>
    <n v="0"/>
    <n v="0"/>
    <n v="0"/>
    <n v="0"/>
    <n v="0"/>
    <n v="0"/>
    <n v="0"/>
    <n v="0"/>
    <n v="0"/>
  </r>
  <r>
    <x v="7"/>
    <n v="2"/>
    <n v="1"/>
    <n v="1"/>
    <n v="1"/>
    <n v="0"/>
    <n v="0"/>
    <n v="0"/>
    <n v="0"/>
    <n v="0"/>
    <n v="0"/>
    <n v="0"/>
    <n v="1"/>
    <n v="0"/>
  </r>
  <r>
    <x v="8"/>
    <n v="5"/>
    <n v="3"/>
    <n v="2"/>
    <n v="2"/>
    <n v="0"/>
    <n v="0"/>
    <n v="0"/>
    <n v="0"/>
    <n v="0"/>
    <n v="0"/>
    <n v="1"/>
    <n v="1"/>
    <n v="0"/>
  </r>
  <r>
    <x v="9"/>
    <n v="3"/>
    <n v="0"/>
    <n v="3"/>
    <n v="2"/>
    <n v="1"/>
    <n v="0"/>
    <n v="0"/>
    <n v="0"/>
    <n v="0"/>
    <n v="2"/>
    <n v="0"/>
    <n v="1"/>
    <n v="0"/>
  </r>
  <r>
    <x v="10"/>
    <n v="2"/>
    <n v="1"/>
    <n v="1"/>
    <n v="0"/>
    <n v="1"/>
    <n v="0"/>
    <n v="0"/>
    <n v="0"/>
    <n v="0"/>
    <n v="1"/>
    <n v="0"/>
    <n v="0"/>
    <n v="0"/>
  </r>
  <r>
    <x v="11"/>
    <n v="4"/>
    <n v="2"/>
    <n v="2"/>
    <n v="2"/>
    <n v="0"/>
    <n v="0"/>
    <n v="0"/>
    <n v="0"/>
    <n v="0"/>
    <n v="2"/>
    <n v="0"/>
    <n v="0"/>
    <n v="0"/>
  </r>
  <r>
    <x v="12"/>
    <n v="8"/>
    <n v="3"/>
    <n v="5"/>
    <n v="4"/>
    <n v="1"/>
    <n v="0"/>
    <n v="0"/>
    <n v="0"/>
    <n v="0"/>
    <n v="1"/>
    <n v="0"/>
    <n v="1"/>
    <n v="3"/>
  </r>
  <r>
    <x v="13"/>
    <n v="8"/>
    <n v="3"/>
    <n v="4"/>
    <n v="3"/>
    <n v="1"/>
    <n v="1"/>
    <n v="1"/>
    <n v="0"/>
    <n v="0"/>
    <n v="2"/>
    <n v="0"/>
    <n v="1"/>
    <n v="1"/>
  </r>
  <r>
    <x v="14"/>
    <n v="7"/>
    <n v="2"/>
    <n v="4"/>
    <n v="3"/>
    <n v="1"/>
    <n v="1"/>
    <n v="0"/>
    <n v="1"/>
    <n v="0"/>
    <n v="1"/>
    <n v="0"/>
    <n v="3"/>
    <n v="0"/>
  </r>
  <r>
    <x v="15"/>
    <n v="3"/>
    <n v="1"/>
    <n v="2"/>
    <n v="2"/>
    <n v="0"/>
    <n v="0"/>
    <n v="0"/>
    <n v="0"/>
    <n v="0"/>
    <n v="0"/>
    <n v="0"/>
    <n v="1"/>
    <n v="1"/>
  </r>
  <r>
    <x v="16"/>
    <n v="2"/>
    <n v="1"/>
    <n v="1"/>
    <n v="0"/>
    <n v="1"/>
    <n v="0"/>
    <n v="0"/>
    <n v="0"/>
    <n v="0"/>
    <n v="1"/>
    <n v="0"/>
    <n v="0"/>
    <n v="0"/>
  </r>
  <r>
    <x v="17"/>
    <n v="3"/>
    <n v="0"/>
    <n v="3"/>
    <n v="1"/>
    <n v="2"/>
    <n v="0"/>
    <n v="0"/>
    <n v="0"/>
    <n v="0"/>
    <n v="2"/>
    <n v="0"/>
    <n v="1"/>
    <n v="0"/>
  </r>
  <r>
    <x v="18"/>
    <n v="6"/>
    <n v="1"/>
    <n v="4"/>
    <n v="2"/>
    <n v="2"/>
    <n v="1"/>
    <n v="0"/>
    <n v="1"/>
    <n v="0"/>
    <n v="2"/>
    <n v="0"/>
    <n v="1"/>
    <n v="1"/>
  </r>
  <r>
    <x v="19"/>
    <n v="1"/>
    <n v="0"/>
    <n v="0"/>
    <n v="0"/>
    <n v="0"/>
    <n v="0"/>
    <n v="0"/>
    <n v="0"/>
    <n v="0"/>
    <n v="1"/>
    <n v="0"/>
    <n v="0"/>
    <n v="0"/>
  </r>
  <r>
    <x v="20"/>
    <n v="5"/>
    <n v="0"/>
    <n v="0"/>
    <n v="0"/>
    <n v="0"/>
    <n v="0"/>
    <n v="0"/>
    <n v="0"/>
    <n v="0"/>
    <n v="5"/>
    <n v="0"/>
    <n v="0"/>
    <n v="0"/>
  </r>
  <r>
    <x v="21"/>
    <n v="7"/>
    <n v="2"/>
    <n v="2"/>
    <n v="2"/>
    <n v="0"/>
    <n v="3"/>
    <n v="3"/>
    <n v="0"/>
    <n v="0"/>
    <n v="2"/>
    <n v="0"/>
    <n v="0"/>
    <n v="0"/>
  </r>
  <r>
    <x v="22"/>
    <n v="3"/>
    <n v="1"/>
    <n v="2"/>
    <n v="1"/>
    <n v="1"/>
    <n v="0"/>
    <n v="0"/>
    <n v="0"/>
    <n v="0"/>
    <n v="2"/>
    <n v="0"/>
    <n v="0"/>
    <n v="0"/>
  </r>
  <r>
    <x v="23"/>
    <n v="12"/>
    <n v="3"/>
    <n v="7"/>
    <n v="3"/>
    <n v="4"/>
    <n v="2"/>
    <n v="2"/>
    <n v="0"/>
    <n v="0"/>
    <n v="6"/>
    <n v="0"/>
    <n v="0"/>
    <n v="1"/>
  </r>
  <r>
    <x v="24"/>
    <n v="2"/>
    <n v="0"/>
    <n v="0"/>
    <n v="0"/>
    <n v="0"/>
    <n v="0"/>
    <n v="0"/>
    <n v="0"/>
    <n v="0"/>
    <n v="2"/>
    <n v="0"/>
    <n v="0"/>
    <n v="0"/>
  </r>
  <r>
    <x v="25"/>
    <n v="7"/>
    <n v="4"/>
    <n v="2"/>
    <n v="1"/>
    <n v="1"/>
    <n v="1"/>
    <n v="0"/>
    <n v="1"/>
    <n v="0"/>
    <n v="1"/>
    <n v="0"/>
    <n v="1"/>
    <n v="0"/>
  </r>
  <r>
    <x v="26"/>
    <n v="7"/>
    <n v="2"/>
    <n v="5"/>
    <n v="4"/>
    <n v="1"/>
    <n v="0"/>
    <n v="0"/>
    <n v="0"/>
    <n v="0"/>
    <n v="3"/>
    <n v="1"/>
    <n v="1"/>
    <n v="0"/>
  </r>
  <r>
    <x v="27"/>
    <n v="3"/>
    <n v="0"/>
    <n v="2"/>
    <n v="1"/>
    <n v="1"/>
    <n v="1"/>
    <n v="1"/>
    <n v="0"/>
    <n v="0"/>
    <n v="1"/>
    <n v="0"/>
    <n v="1"/>
    <n v="0"/>
  </r>
  <r>
    <x v="28"/>
    <n v="24"/>
    <n v="9"/>
    <n v="11"/>
    <n v="7"/>
    <n v="4"/>
    <n v="4"/>
    <n v="2"/>
    <n v="1"/>
    <n v="1"/>
    <n v="8"/>
    <n v="1"/>
    <n v="2"/>
    <n v="0"/>
  </r>
  <r>
    <x v="29"/>
    <n v="3"/>
    <n v="1"/>
    <n v="2"/>
    <n v="2"/>
    <n v="0"/>
    <n v="0"/>
    <n v="0"/>
    <n v="0"/>
    <n v="0"/>
    <n v="2"/>
    <n v="0"/>
    <n v="0"/>
    <n v="0"/>
  </r>
  <r>
    <x v="30"/>
    <n v="71"/>
    <n v="18"/>
    <n v="42"/>
    <n v="32"/>
    <n v="10"/>
    <n v="11"/>
    <n v="4"/>
    <n v="3"/>
    <n v="4"/>
    <n v="26"/>
    <n v="5"/>
    <n v="7"/>
    <n v="4"/>
  </r>
  <r>
    <x v="31"/>
    <n v="5"/>
    <n v="2"/>
    <n v="3"/>
    <n v="2"/>
    <n v="1"/>
    <n v="0"/>
    <n v="0"/>
    <n v="0"/>
    <n v="0"/>
    <n v="1"/>
    <n v="0"/>
    <n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Tabla dinámica2"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5" rowHeaderCaption="Provincia">
  <location ref="A3:D36" firstHeaderRow="0" firstDataRow="1" firstDataCol="1"/>
  <pivotFields count="14">
    <pivotField axis="axisRow" showAll="0">
      <items count="39">
        <item x="0"/>
        <item x="1"/>
        <item x="2"/>
        <item x="3"/>
        <item x="4"/>
        <item x="5"/>
        <item x="6"/>
        <item m="1" x="37"/>
        <item x="8"/>
        <item x="9"/>
        <item x="10"/>
        <item x="11"/>
        <item x="12"/>
        <item x="13"/>
        <item x="14"/>
        <item m="1" x="36"/>
        <item x="16"/>
        <item x="17"/>
        <item x="18"/>
        <item x="19"/>
        <item x="20"/>
        <item x="21"/>
        <item m="1" x="34"/>
        <item x="23"/>
        <item m="1" x="35"/>
        <item x="25"/>
        <item x="26"/>
        <item m="1" x="33"/>
        <item x="28"/>
        <item m="1" x="32"/>
        <item x="30"/>
        <item x="31"/>
        <item x="7"/>
        <item x="15"/>
        <item x="22"/>
        <item x="24"/>
        <item x="27"/>
        <item x="29"/>
        <item t="default"/>
      </items>
    </pivotField>
    <pivotField showAll="0"/>
    <pivotField dataField="1" showAll="0"/>
    <pivotField dataField="1" showAll="0"/>
    <pivotField showAll="0"/>
    <pivotField showAll="0"/>
    <pivotField dataField="1" showAll="0"/>
    <pivotField showAll="0"/>
    <pivotField showAll="0"/>
    <pivotField showAll="0"/>
    <pivotField showAll="0"/>
    <pivotField showAll="0"/>
    <pivotField showAll="0"/>
    <pivotField showAll="0"/>
  </pivotFields>
  <rowFields count="1">
    <field x="0"/>
  </rowFields>
  <rowItems count="33">
    <i>
      <x/>
    </i>
    <i>
      <x v="1"/>
    </i>
    <i>
      <x v="2"/>
    </i>
    <i>
      <x v="3"/>
    </i>
    <i>
      <x v="4"/>
    </i>
    <i>
      <x v="5"/>
    </i>
    <i>
      <x v="6"/>
    </i>
    <i>
      <x v="8"/>
    </i>
    <i>
      <x v="9"/>
    </i>
    <i>
      <x v="10"/>
    </i>
    <i>
      <x v="11"/>
    </i>
    <i>
      <x v="12"/>
    </i>
    <i>
      <x v="13"/>
    </i>
    <i>
      <x v="14"/>
    </i>
    <i>
      <x v="16"/>
    </i>
    <i>
      <x v="17"/>
    </i>
    <i>
      <x v="18"/>
    </i>
    <i>
      <x v="19"/>
    </i>
    <i>
      <x v="20"/>
    </i>
    <i>
      <x v="21"/>
    </i>
    <i>
      <x v="23"/>
    </i>
    <i>
      <x v="25"/>
    </i>
    <i>
      <x v="26"/>
    </i>
    <i>
      <x v="28"/>
    </i>
    <i>
      <x v="30"/>
    </i>
    <i>
      <x v="31"/>
    </i>
    <i>
      <x v="32"/>
    </i>
    <i>
      <x v="33"/>
    </i>
    <i>
      <x v="34"/>
    </i>
    <i>
      <x v="35"/>
    </i>
    <i>
      <x v="36"/>
    </i>
    <i>
      <x v="37"/>
    </i>
    <i t="grand">
      <x/>
    </i>
  </rowItems>
  <colFields count="1">
    <field x="-2"/>
  </colFields>
  <colItems count="3">
    <i>
      <x/>
    </i>
    <i i="1">
      <x v="1"/>
    </i>
    <i i="2">
      <x v="2"/>
    </i>
  </colItems>
  <dataFields count="3">
    <dataField name="Suma de TOTAL CAIPI INICIADO " fld="3" baseField="0" baseItem="0"/>
    <dataField name="Suma de TOTAL CAIPI SIN INICIAR" fld="6" baseField="0" baseItem="0"/>
    <dataField name="Suma de CAIPI INAUGURADO" fld="2" baseField="0" baseItem="0"/>
  </dataFields>
  <formats count="7">
    <format dxfId="99">
      <pivotArea field="0" type="button" dataOnly="0" labelOnly="1" outline="0" axis="axisRow" fieldPosition="0"/>
    </format>
    <format dxfId="98">
      <pivotArea dataOnly="0" labelOnly="1" outline="0" fieldPosition="0">
        <references count="1">
          <reference field="4294967294" count="3">
            <x v="0"/>
            <x v="1"/>
            <x v="2"/>
          </reference>
        </references>
      </pivotArea>
    </format>
    <format dxfId="97">
      <pivotArea field="0" type="button" dataOnly="0" labelOnly="1" outline="0" axis="axisRow" fieldPosition="0"/>
    </format>
    <format dxfId="96">
      <pivotArea dataOnly="0" labelOnly="1" outline="0" fieldPosition="0">
        <references count="1">
          <reference field="4294967294" count="3">
            <x v="0"/>
            <x v="1"/>
            <x v="2"/>
          </reference>
        </references>
      </pivotArea>
    </format>
    <format dxfId="95">
      <pivotArea field="0" type="button" dataOnly="0" labelOnly="1" outline="0" axis="axisRow" fieldPosition="0"/>
    </format>
    <format dxfId="94">
      <pivotArea outline="0" collapsedLevelsAreSubtotals="1" fieldPosition="0"/>
    </format>
    <format dxfId="93">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C7:L40" totalsRowCount="1" headerRowDxfId="122" headerRowBorderDxfId="121" tableBorderDxfId="120" totalsRowBorderDxfId="119">
  <autoFilter ref="C7:L39" xr:uid="{00000000-0009-0000-0100-000002000000}"/>
  <sortState xmlns:xlrd2="http://schemas.microsoft.com/office/spreadsheetml/2017/richdata2" ref="C268:E298">
    <sortCondition ref="C269:C300"/>
  </sortState>
  <tableColumns count="10">
    <tableColumn id="1" xr3:uid="{00000000-0010-0000-0000-000001000000}" name="PROVINCIA" totalsRowLabel="TOTAL" totalsRowDxfId="118"/>
    <tableColumn id="2" xr3:uid="{00000000-0010-0000-0000-000002000000}" name="CANTIDAD CAIPI SORTEADO" totalsRowFunction="sum" dataDxfId="117" totalsRowDxfId="116">
      <calculatedColumnFormula>+'estado terrenos '!B6</calculatedColumnFormula>
    </tableColumn>
    <tableColumn id="3" xr3:uid="{00000000-0010-0000-0000-000003000000}" name="CAIPI DETENIDO POR PAGO TERRENO" totalsRowFunction="sum" dataDxfId="115" totalsRowDxfId="114">
      <calculatedColumnFormula>+COUNTIFS('Seguimiento Julio 2024'!$C$12:$C$256,Tabla13[[#This Row],[PROVINCIA]],'Seguimiento Julio 2024'!$H$12:$H$256,'Seguimiento Julio 2024'!$H$20)</calculatedColumnFormula>
    </tableColumn>
    <tableColumn id="4" xr3:uid="{00000000-0010-0000-0000-000004000000}" name="CAIPI DETENIDO POR PAGO CUBICACION" totalsRowFunction="sum" dataDxfId="113" totalsRowDxfId="112">
      <calculatedColumnFormula>+COUNTIFS('Seguimiento Julio 2024'!$C$12:$C$256,Tabla13[[#This Row],[PROVINCIA]],'Seguimiento Julio 2024'!$H$12:$H$256,'Seguimiento Julio 2024'!$H$14)</calculatedColumnFormula>
    </tableColumn>
    <tableColumn id="5" xr3:uid="{00000000-0010-0000-0000-000005000000}" name="CAIPI DETENIDO POR PLANO" totalsRowFunction="sum" dataDxfId="111" totalsRowDxfId="110">
      <calculatedColumnFormula>+COUNTIFS('Seguimiento Julio 2024'!$C$12:$C$256,Tabla13[[#This Row],[PROVINCIA]],'Seguimiento Julio 2024'!$H$12:$H$256,'Seguimiento Julio 2024'!$H$31)</calculatedColumnFormula>
    </tableColumn>
    <tableColumn id="6" xr3:uid="{00000000-0010-0000-0000-000006000000}" name="CAIPI DETENIDO" totalsRowFunction="custom" dataDxfId="109" totalsRowDxfId="108">
      <calculatedColumnFormula>+COUNTIFS('Seguimiento Julio 2024'!$C$12:$C$256,Tabla13[[#This Row],[PROVINCIA]],'Seguimiento Julio 2024'!$H$12:$H$256,'Seguimiento Julio 2024'!$H$22)</calculatedColumnFormula>
      <totalsRowFormula>SUM(Tabla13[CAIPI DETENIDO])</totalsRowFormula>
    </tableColumn>
    <tableColumn id="9" xr3:uid="{00000000-0010-0000-0000-000009000000}" name="TOTAL DETENIDA" totalsRowFunction="sum" dataDxfId="107" totalsRowDxfId="106">
      <calculatedColumnFormula>SUM(#REF!)</calculatedColumnFormula>
    </tableColumn>
    <tableColumn id="10" xr3:uid="{00000000-0010-0000-0000-00000A000000}" name="PROCESO DONACION" totalsRowFunction="sum" dataDxfId="105" totalsRowDxfId="104">
      <calculatedColumnFormula>+COUNTIFS('Seguimiento Julio 2024'!$C$12:$C$256,Tabla13[[#This Row],[PROVINCIA]],'Seguimiento Julio 2024'!$I$12:$I$256,'Seguimiento Julio 2024'!$I$24)</calculatedColumnFormula>
    </tableColumn>
    <tableColumn id="11" xr3:uid="{00000000-0010-0000-0000-00000B000000}" name="NEGOCIADO" totalsRowFunction="sum" dataDxfId="103" totalsRowDxfId="102">
      <calculatedColumnFormula>+COUNTIFS('Seguimiento Julio 2024'!$C$12:$C$256,Tabla13[[#This Row],[PROVINCIA]],'Seguimiento Julio 2024'!$I$12:$I$256,'Seguimiento Julio 2024'!$I$28)</calculatedColumnFormula>
    </tableColumn>
    <tableColumn id="13" xr3:uid="{00000000-0010-0000-0000-00000D000000}" name="SIN INICIAR" totalsRowFunction="custom" dataDxfId="101" totalsRowDxfId="100">
      <calculatedColumnFormula>COUNTIFS('Seguimiento Julio 2024'!$C$12:$C$256,'estado terrenos '!A6,'Seguimiento Julio 2024'!$H$12:$H$256,'Seguimiento Julio 2024'!$H$15)</calculatedColumnFormula>
      <totalsRowFormula>SUM(Tabla13[SIN INICIAR])</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judithcruz21@hotmail.com" TargetMode="External"/><Relationship Id="rId21" Type="http://schemas.openxmlformats.org/officeDocument/2006/relationships/hyperlink" Target="mailto:lirianox@gmail.com" TargetMode="External"/><Relationship Id="rId42" Type="http://schemas.openxmlformats.org/officeDocument/2006/relationships/hyperlink" Target="mailto:arqhunt@hotmail.com" TargetMode="External"/><Relationship Id="rId63" Type="http://schemas.openxmlformats.org/officeDocument/2006/relationships/hyperlink" Target="mailto:c.hachebordas@gmail.com" TargetMode="External"/><Relationship Id="rId84" Type="http://schemas.openxmlformats.org/officeDocument/2006/relationships/hyperlink" Target="mailto:jgpolanco@gmail.com" TargetMode="External"/><Relationship Id="rId138" Type="http://schemas.openxmlformats.org/officeDocument/2006/relationships/hyperlink" Target="mailto:ingpriscillaantonio@hotmail.com" TargetMode="External"/><Relationship Id="rId159" Type="http://schemas.openxmlformats.org/officeDocument/2006/relationships/hyperlink" Target="mailto:hector.claro@hotmail.com" TargetMode="External"/><Relationship Id="rId107" Type="http://schemas.openxmlformats.org/officeDocument/2006/relationships/hyperlink" Target="mailto:Mildred_suero@hotmail.com" TargetMode="External"/><Relationship Id="rId11" Type="http://schemas.openxmlformats.org/officeDocument/2006/relationships/hyperlink" Target="mailto:rosasuper2001@hotmail.com" TargetMode="External"/><Relationship Id="rId32" Type="http://schemas.openxmlformats.org/officeDocument/2006/relationships/hyperlink" Target="mailto:heralca@gmail.com" TargetMode="External"/><Relationship Id="rId53" Type="http://schemas.openxmlformats.org/officeDocument/2006/relationships/hyperlink" Target="mailto:ing.amadairis@gmail.com" TargetMode="External"/><Relationship Id="rId74" Type="http://schemas.openxmlformats.org/officeDocument/2006/relationships/hyperlink" Target="mailto:constructorayeara@gmail.com" TargetMode="External"/><Relationship Id="rId128" Type="http://schemas.openxmlformats.org/officeDocument/2006/relationships/hyperlink" Target="mailto:felixherrera09@hotmail.com" TargetMode="External"/><Relationship Id="rId149" Type="http://schemas.openxmlformats.org/officeDocument/2006/relationships/hyperlink" Target="mailto:construmagna@hotmail.com" TargetMode="External"/><Relationship Id="rId5" Type="http://schemas.openxmlformats.org/officeDocument/2006/relationships/hyperlink" Target="mailto:ing.perezramirez@hotmail.com" TargetMode="External"/><Relationship Id="rId95" Type="http://schemas.openxmlformats.org/officeDocument/2006/relationships/hyperlink" Target="mailto:moreno.mateo@gmail.com" TargetMode="External"/><Relationship Id="rId160" Type="http://schemas.openxmlformats.org/officeDocument/2006/relationships/hyperlink" Target="mailto:martinezsubero2010@hotmail.com" TargetMode="External"/><Relationship Id="rId22" Type="http://schemas.openxmlformats.org/officeDocument/2006/relationships/hyperlink" Target="mailto:yajahydis13@hotmail.com" TargetMode="External"/><Relationship Id="rId43" Type="http://schemas.openxmlformats.org/officeDocument/2006/relationships/hyperlink" Target="mailto:ing.carmenfranco@hotmail.com" TargetMode="External"/><Relationship Id="rId64" Type="http://schemas.openxmlformats.org/officeDocument/2006/relationships/hyperlink" Target="mailto:dpvargasf@gmail.com" TargetMode="External"/><Relationship Id="rId118" Type="http://schemas.openxmlformats.org/officeDocument/2006/relationships/hyperlink" Target="mailto:garciacarolina14@gmail.com" TargetMode="External"/><Relationship Id="rId139" Type="http://schemas.openxmlformats.org/officeDocument/2006/relationships/hyperlink" Target="mailto:calderon.marcia@gmail.com" TargetMode="External"/><Relationship Id="rId85" Type="http://schemas.openxmlformats.org/officeDocument/2006/relationships/hyperlink" Target="mailto:ingmaggiemed@hotmail.com" TargetMode="External"/><Relationship Id="rId150" Type="http://schemas.openxmlformats.org/officeDocument/2006/relationships/hyperlink" Target="mailto:ing.medina78@hotmail.com" TargetMode="External"/><Relationship Id="rId12" Type="http://schemas.openxmlformats.org/officeDocument/2006/relationships/hyperlink" Target="mailto:amarilisvaleyron@gmail.com" TargetMode="External"/><Relationship Id="rId17" Type="http://schemas.openxmlformats.org/officeDocument/2006/relationships/hyperlink" Target="mailto:arq.juancarlosdiaz@gmail.com" TargetMode="External"/><Relationship Id="rId33" Type="http://schemas.openxmlformats.org/officeDocument/2006/relationships/hyperlink" Target="mailto:luisgobaira@hotmail.com" TargetMode="External"/><Relationship Id="rId38" Type="http://schemas.openxmlformats.org/officeDocument/2006/relationships/hyperlink" Target="mailto:arqalex_226@hotmail.com" TargetMode="External"/><Relationship Id="rId59" Type="http://schemas.openxmlformats.org/officeDocument/2006/relationships/hyperlink" Target="mailto:ingluismldu12@gmail.com" TargetMode="External"/><Relationship Id="rId103" Type="http://schemas.openxmlformats.org/officeDocument/2006/relationships/hyperlink" Target="mailto:wellingtonramirez_@hotmail.com" TargetMode="External"/><Relationship Id="rId108" Type="http://schemas.openxmlformats.org/officeDocument/2006/relationships/hyperlink" Target="mailto:caceresalexandra@yahoo.com" TargetMode="External"/><Relationship Id="rId124" Type="http://schemas.openxmlformats.org/officeDocument/2006/relationships/hyperlink" Target="mailto:pedrososa27@hotmail.com" TargetMode="External"/><Relationship Id="rId129" Type="http://schemas.openxmlformats.org/officeDocument/2006/relationships/hyperlink" Target="mailto:yoannamatos01@gmail.com" TargetMode="External"/><Relationship Id="rId54" Type="http://schemas.openxmlformats.org/officeDocument/2006/relationships/hyperlink" Target="mailto:ing.medina35@gmail.com" TargetMode="External"/><Relationship Id="rId70" Type="http://schemas.openxmlformats.org/officeDocument/2006/relationships/hyperlink" Target="mailto:claudiachalas@gmail.com" TargetMode="External"/><Relationship Id="rId75" Type="http://schemas.openxmlformats.org/officeDocument/2006/relationships/hyperlink" Target="mailto:dtodoterminaciones@gmail.com" TargetMode="External"/><Relationship Id="rId91" Type="http://schemas.openxmlformats.org/officeDocument/2006/relationships/hyperlink" Target="mailto:maleck_03@yahoo.com" TargetMode="External"/><Relationship Id="rId96" Type="http://schemas.openxmlformats.org/officeDocument/2006/relationships/hyperlink" Target="mailto:fdelrio@pimpina.com.do" TargetMode="External"/><Relationship Id="rId140" Type="http://schemas.openxmlformats.org/officeDocument/2006/relationships/hyperlink" Target="mailto:dinymatos@hotmail.com" TargetMode="External"/><Relationship Id="rId145" Type="http://schemas.openxmlformats.org/officeDocument/2006/relationships/hyperlink" Target="mailto:stalincarbonell@yahoo.com" TargetMode="External"/><Relationship Id="rId161" Type="http://schemas.openxmlformats.org/officeDocument/2006/relationships/hyperlink" Target="mailto:b.ledesma9@gmail.com" TargetMode="External"/><Relationship Id="rId1" Type="http://schemas.openxmlformats.org/officeDocument/2006/relationships/hyperlink" Target="mailto:rbello54@hotmail.com" TargetMode="External"/><Relationship Id="rId6" Type="http://schemas.openxmlformats.org/officeDocument/2006/relationships/hyperlink" Target="mailto:fannyguerrero26@hotmail.com" TargetMode="External"/><Relationship Id="rId23" Type="http://schemas.openxmlformats.org/officeDocument/2006/relationships/hyperlink" Target="mailto:nestor_almonte@hotmail.com" TargetMode="External"/><Relationship Id="rId28" Type="http://schemas.openxmlformats.org/officeDocument/2006/relationships/hyperlink" Target="mailto:johnnypereza@outlook.com" TargetMode="External"/><Relationship Id="rId49" Type="http://schemas.openxmlformats.org/officeDocument/2006/relationships/hyperlink" Target="mailto:yeselisjimenez@yahoo.es" TargetMode="External"/><Relationship Id="rId114" Type="http://schemas.openxmlformats.org/officeDocument/2006/relationships/hyperlink" Target="mailto:abreurosario1@hotmail.com" TargetMode="External"/><Relationship Id="rId119" Type="http://schemas.openxmlformats.org/officeDocument/2006/relationships/hyperlink" Target="mailto:ing_0930@hotmail.com" TargetMode="External"/><Relationship Id="rId44" Type="http://schemas.openxmlformats.org/officeDocument/2006/relationships/hyperlink" Target="mailto:obramsa@yahoo.com" TargetMode="External"/><Relationship Id="rId60" Type="http://schemas.openxmlformats.org/officeDocument/2006/relationships/hyperlink" Target="mailto:franciscopereyra@hotmail.es" TargetMode="External"/><Relationship Id="rId65" Type="http://schemas.openxmlformats.org/officeDocument/2006/relationships/hyperlink" Target="mailto:rafaelquinones2518@hotmail.com" TargetMode="External"/><Relationship Id="rId81" Type="http://schemas.openxmlformats.org/officeDocument/2006/relationships/hyperlink" Target="mailto:j.cifres1975@gmail.com" TargetMode="External"/><Relationship Id="rId86" Type="http://schemas.openxmlformats.org/officeDocument/2006/relationships/hyperlink" Target="mailto:arqjnatera@gmail.com" TargetMode="External"/><Relationship Id="rId130" Type="http://schemas.openxmlformats.org/officeDocument/2006/relationships/hyperlink" Target="mailto:evelinestrella@hotmail.com" TargetMode="External"/><Relationship Id="rId135" Type="http://schemas.openxmlformats.org/officeDocument/2006/relationships/hyperlink" Target="mailto:guario22@hotmail.com" TargetMode="External"/><Relationship Id="rId151" Type="http://schemas.openxmlformats.org/officeDocument/2006/relationships/hyperlink" Target="mailto:calderon.marcia@gmail.com" TargetMode="External"/><Relationship Id="rId156" Type="http://schemas.openxmlformats.org/officeDocument/2006/relationships/hyperlink" Target="mailto:arqradriel@hotmail.es" TargetMode="External"/><Relationship Id="rId13" Type="http://schemas.openxmlformats.org/officeDocument/2006/relationships/hyperlink" Target="mailto:oroga@hotmail.com" TargetMode="External"/><Relationship Id="rId18" Type="http://schemas.openxmlformats.org/officeDocument/2006/relationships/hyperlink" Target="mailto:ing.mizsantos@hotmail.com" TargetMode="External"/><Relationship Id="rId39" Type="http://schemas.openxmlformats.org/officeDocument/2006/relationships/hyperlink" Target="mailto:molina.cxa@gmail.com" TargetMode="External"/><Relationship Id="rId109" Type="http://schemas.openxmlformats.org/officeDocument/2006/relationships/hyperlink" Target="mailto:brauliojmr@gmail.com" TargetMode="External"/><Relationship Id="rId34" Type="http://schemas.openxmlformats.org/officeDocument/2006/relationships/hyperlink" Target="mailto:juanpablo.rod@hotmail.com" TargetMode="External"/><Relationship Id="rId50" Type="http://schemas.openxmlformats.org/officeDocument/2006/relationships/hyperlink" Target="mailto:d.y.25@gmai.com" TargetMode="External"/><Relationship Id="rId55" Type="http://schemas.openxmlformats.org/officeDocument/2006/relationships/hyperlink" Target="mailto:arq_pillier@hotmail.com" TargetMode="External"/><Relationship Id="rId76" Type="http://schemas.openxmlformats.org/officeDocument/2006/relationships/hyperlink" Target="mailto:anrope45@hotmail.com" TargetMode="External"/><Relationship Id="rId97" Type="http://schemas.openxmlformats.org/officeDocument/2006/relationships/hyperlink" Target="mailto:eimiaamariana@gmail.com" TargetMode="External"/><Relationship Id="rId104" Type="http://schemas.openxmlformats.org/officeDocument/2006/relationships/hyperlink" Target="mailto:josebernardocid@gmail.com" TargetMode="External"/><Relationship Id="rId120" Type="http://schemas.openxmlformats.org/officeDocument/2006/relationships/hyperlink" Target="mailto:delvinson2007@gmail.com" TargetMode="External"/><Relationship Id="rId125" Type="http://schemas.openxmlformats.org/officeDocument/2006/relationships/hyperlink" Target="mailto:daysis-santos@hotmail.com" TargetMode="External"/><Relationship Id="rId141" Type="http://schemas.openxmlformats.org/officeDocument/2006/relationships/hyperlink" Target="mailto:emmanuel.grupokratos@gmail.com" TargetMode="External"/><Relationship Id="rId146" Type="http://schemas.openxmlformats.org/officeDocument/2006/relationships/hyperlink" Target="mailto:hector.claro@hotmail.com" TargetMode="External"/><Relationship Id="rId7" Type="http://schemas.openxmlformats.org/officeDocument/2006/relationships/hyperlink" Target="mailto:arq.jesusnunez@gmail.com" TargetMode="External"/><Relationship Id="rId71" Type="http://schemas.openxmlformats.org/officeDocument/2006/relationships/hyperlink" Target="mailto:cristopher_3abc4@hotmail.com" TargetMode="External"/><Relationship Id="rId92" Type="http://schemas.openxmlformats.org/officeDocument/2006/relationships/hyperlink" Target="mailto:jenniferpelaez12@hotmail.com" TargetMode="External"/><Relationship Id="rId162" Type="http://schemas.openxmlformats.org/officeDocument/2006/relationships/printerSettings" Target="../printerSettings/printerSettings4.bin"/><Relationship Id="rId2" Type="http://schemas.openxmlformats.org/officeDocument/2006/relationships/hyperlink" Target="mailto:td.rubio@gmail.com" TargetMode="External"/><Relationship Id="rId29" Type="http://schemas.openxmlformats.org/officeDocument/2006/relationships/hyperlink" Target="mailto:carloselche78@hotmail.com" TargetMode="External"/><Relationship Id="rId24" Type="http://schemas.openxmlformats.org/officeDocument/2006/relationships/hyperlink" Target="mailto:anthonycolon01@hotmail.com" TargetMode="External"/><Relationship Id="rId40" Type="http://schemas.openxmlformats.org/officeDocument/2006/relationships/hyperlink" Target="mailto:mariojulio.martinez@hotmail.com" TargetMode="External"/><Relationship Id="rId45" Type="http://schemas.openxmlformats.org/officeDocument/2006/relationships/hyperlink" Target="mailto:Louistaveras85@hotmail.es" TargetMode="External"/><Relationship Id="rId66" Type="http://schemas.openxmlformats.org/officeDocument/2006/relationships/hyperlink" Target="mailto:ing.consudom.@gmail.com" TargetMode="External"/><Relationship Id="rId87" Type="http://schemas.openxmlformats.org/officeDocument/2006/relationships/hyperlink" Target="mailto:nelle192@hotmail.com" TargetMode="External"/><Relationship Id="rId110" Type="http://schemas.openxmlformats.org/officeDocument/2006/relationships/hyperlink" Target="mailto:ingbrauliomartinez@gmail.com" TargetMode="External"/><Relationship Id="rId115" Type="http://schemas.openxmlformats.org/officeDocument/2006/relationships/hyperlink" Target="mailto:lclaribel2004@yahoo.com" TargetMode="External"/><Relationship Id="rId131" Type="http://schemas.openxmlformats.org/officeDocument/2006/relationships/hyperlink" Target="mailto:jmolina@ucsd.edu.do" TargetMode="External"/><Relationship Id="rId136" Type="http://schemas.openxmlformats.org/officeDocument/2006/relationships/hyperlink" Target="mailto:fc-elmaster@hotmail.com" TargetMode="External"/><Relationship Id="rId157" Type="http://schemas.openxmlformats.org/officeDocument/2006/relationships/hyperlink" Target="mailto:evenecer.arm@hotmail.com" TargetMode="External"/><Relationship Id="rId61" Type="http://schemas.openxmlformats.org/officeDocument/2006/relationships/hyperlink" Target="mailto:victorbueno28@hotmail.com" TargetMode="External"/><Relationship Id="rId82" Type="http://schemas.openxmlformats.org/officeDocument/2006/relationships/hyperlink" Target="mailto:martinezaquino24@gmail.com" TargetMode="External"/><Relationship Id="rId152" Type="http://schemas.openxmlformats.org/officeDocument/2006/relationships/hyperlink" Target="mailto:dinymatos@hotmail.com" TargetMode="External"/><Relationship Id="rId19" Type="http://schemas.openxmlformats.org/officeDocument/2006/relationships/hyperlink" Target="mailto:elcastorconstruye@hotmail.com" TargetMode="External"/><Relationship Id="rId14" Type="http://schemas.openxmlformats.org/officeDocument/2006/relationships/hyperlink" Target="mailto:jacintofernandezmatos@gmail.com" TargetMode="External"/><Relationship Id="rId30" Type="http://schemas.openxmlformats.org/officeDocument/2006/relationships/hyperlink" Target="mailto:alexis8303@hotmail.com" TargetMode="External"/><Relationship Id="rId35" Type="http://schemas.openxmlformats.org/officeDocument/2006/relationships/hyperlink" Target="mailto:rd_dguez@yahoo.com" TargetMode="External"/><Relationship Id="rId56" Type="http://schemas.openxmlformats.org/officeDocument/2006/relationships/hyperlink" Target="mailto:starlin_martinez01@hotmail.com" TargetMode="External"/><Relationship Id="rId77" Type="http://schemas.openxmlformats.org/officeDocument/2006/relationships/hyperlink" Target="mailto:sanvalarquitectura@gmail.com" TargetMode="External"/><Relationship Id="rId100" Type="http://schemas.openxmlformats.org/officeDocument/2006/relationships/hyperlink" Target="mailto:pptorilan@hotmail.com" TargetMode="External"/><Relationship Id="rId105" Type="http://schemas.openxmlformats.org/officeDocument/2006/relationships/hyperlink" Target="mailto:jonathanbrito1978@hotmail.com" TargetMode="External"/><Relationship Id="rId126" Type="http://schemas.openxmlformats.org/officeDocument/2006/relationships/hyperlink" Target="mailto:arq.banesahowley@hotmail.com" TargetMode="External"/><Relationship Id="rId147" Type="http://schemas.openxmlformats.org/officeDocument/2006/relationships/hyperlink" Target="mailto:kelgonsa@hotmail.com" TargetMode="External"/><Relationship Id="rId8" Type="http://schemas.openxmlformats.org/officeDocument/2006/relationships/hyperlink" Target="mailto:gpfgroup23@gmail.com" TargetMode="External"/><Relationship Id="rId51" Type="http://schemas.openxmlformats.org/officeDocument/2006/relationships/hyperlink" Target="mailto:jannfreisy@gmail.com" TargetMode="External"/><Relationship Id="rId72" Type="http://schemas.openxmlformats.org/officeDocument/2006/relationships/hyperlink" Target="mailto:hamidyaryura@peypac.com.do" TargetMode="External"/><Relationship Id="rId93" Type="http://schemas.openxmlformats.org/officeDocument/2006/relationships/hyperlink" Target="mailto:ing.lajara@live.com" TargetMode="External"/><Relationship Id="rId98" Type="http://schemas.openxmlformats.org/officeDocument/2006/relationships/hyperlink" Target="mailto:castillo110611@gmail.com" TargetMode="External"/><Relationship Id="rId121" Type="http://schemas.openxmlformats.org/officeDocument/2006/relationships/hyperlink" Target="mailto:inglabata22@gmail.com" TargetMode="External"/><Relationship Id="rId142" Type="http://schemas.openxmlformats.org/officeDocument/2006/relationships/hyperlink" Target="mailto:cons_royser@hotmail.com" TargetMode="External"/><Relationship Id="rId163" Type="http://schemas.openxmlformats.org/officeDocument/2006/relationships/drawing" Target="../drawings/drawing3.xml"/><Relationship Id="rId3" Type="http://schemas.openxmlformats.org/officeDocument/2006/relationships/hyperlink" Target="mailto:leunam22244@hotmail.com" TargetMode="External"/><Relationship Id="rId25" Type="http://schemas.openxmlformats.org/officeDocument/2006/relationships/hyperlink" Target="mailto:disconart.dca@gmail.com" TargetMode="External"/><Relationship Id="rId46" Type="http://schemas.openxmlformats.org/officeDocument/2006/relationships/hyperlink" Target="mailto:j.heriveaux@me.com" TargetMode="External"/><Relationship Id="rId67" Type="http://schemas.openxmlformats.org/officeDocument/2006/relationships/hyperlink" Target="mailto:eferia@construtek.com" TargetMode="External"/><Relationship Id="rId116" Type="http://schemas.openxmlformats.org/officeDocument/2006/relationships/hyperlink" Target="mailto:luispolanco96@hotmail.com" TargetMode="External"/><Relationship Id="rId137" Type="http://schemas.openxmlformats.org/officeDocument/2006/relationships/hyperlink" Target="mailto:cyndi_castillo@hotmail.com" TargetMode="External"/><Relationship Id="rId158" Type="http://schemas.openxmlformats.org/officeDocument/2006/relationships/hyperlink" Target="mailto:stalincarbonell@yahoo.com" TargetMode="External"/><Relationship Id="rId20" Type="http://schemas.openxmlformats.org/officeDocument/2006/relationships/hyperlink" Target="mailto:arq.elio@hotmail.com" TargetMode="External"/><Relationship Id="rId41" Type="http://schemas.openxmlformats.org/officeDocument/2006/relationships/hyperlink" Target="mailto:ingcayetano@hotmail.com" TargetMode="External"/><Relationship Id="rId62" Type="http://schemas.openxmlformats.org/officeDocument/2006/relationships/hyperlink" Target="mailto:victorbueno28@hotmail.com" TargetMode="External"/><Relationship Id="rId83" Type="http://schemas.openxmlformats.org/officeDocument/2006/relationships/hyperlink" Target="mailto:vencarnacion@vimaenro.com" TargetMode="External"/><Relationship Id="rId88" Type="http://schemas.openxmlformats.org/officeDocument/2006/relationships/hyperlink" Target="mailto:constructorarocasa@hotmail.com" TargetMode="External"/><Relationship Id="rId111" Type="http://schemas.openxmlformats.org/officeDocument/2006/relationships/hyperlink" Target="mailto:meriyeni2009@hotmail.com" TargetMode="External"/><Relationship Id="rId132" Type="http://schemas.openxmlformats.org/officeDocument/2006/relationships/hyperlink" Target="mailto:wilsonburgos01@hotmail.com" TargetMode="External"/><Relationship Id="rId153" Type="http://schemas.openxmlformats.org/officeDocument/2006/relationships/hyperlink" Target="mailto:mariodelgadomalagon@yahoo.com" TargetMode="External"/><Relationship Id="rId15" Type="http://schemas.openxmlformats.org/officeDocument/2006/relationships/hyperlink" Target="mailto:biohit@claro.net.do" TargetMode="External"/><Relationship Id="rId36" Type="http://schemas.openxmlformats.org/officeDocument/2006/relationships/hyperlink" Target="mailto:julian@cruzcid.com" TargetMode="External"/><Relationship Id="rId57" Type="http://schemas.openxmlformats.org/officeDocument/2006/relationships/hyperlink" Target="mailto:xiomypolanco@yahoo.com" TargetMode="External"/><Relationship Id="rId106" Type="http://schemas.openxmlformats.org/officeDocument/2006/relationships/hyperlink" Target="mailto:anibal256@hotmail.com" TargetMode="External"/><Relationship Id="rId127" Type="http://schemas.openxmlformats.org/officeDocument/2006/relationships/hyperlink" Target="mailto:joel@edconsa.com" TargetMode="External"/><Relationship Id="rId10" Type="http://schemas.openxmlformats.org/officeDocument/2006/relationships/hyperlink" Target="mailto:fybserviceingenieria@hotmail.com" TargetMode="External"/><Relationship Id="rId31" Type="http://schemas.openxmlformats.org/officeDocument/2006/relationships/hyperlink" Target="mailto:alicialalane@yahoo.com" TargetMode="External"/><Relationship Id="rId52" Type="http://schemas.openxmlformats.org/officeDocument/2006/relationships/hyperlink" Target="mailto:servicios430@yahoo.com" TargetMode="External"/><Relationship Id="rId73" Type="http://schemas.openxmlformats.org/officeDocument/2006/relationships/hyperlink" Target="mailto:johanny_estrella@hotmail.com" TargetMode="External"/><Relationship Id="rId78" Type="http://schemas.openxmlformats.org/officeDocument/2006/relationships/hyperlink" Target="mailto:pablomadera@gmail.com" TargetMode="External"/><Relationship Id="rId94" Type="http://schemas.openxmlformats.org/officeDocument/2006/relationships/hyperlink" Target="mailto:ing.santos1978@gmail.com" TargetMode="External"/><Relationship Id="rId99" Type="http://schemas.openxmlformats.org/officeDocument/2006/relationships/hyperlink" Target="mailto:zorrilla1984@gmail.com" TargetMode="External"/><Relationship Id="rId101" Type="http://schemas.openxmlformats.org/officeDocument/2006/relationships/hyperlink" Target="mailto:wjtejeda@hotmail.com" TargetMode="External"/><Relationship Id="rId122" Type="http://schemas.openxmlformats.org/officeDocument/2006/relationships/hyperlink" Target="mailto:marthadesanchez@gmail.com" TargetMode="External"/><Relationship Id="rId143" Type="http://schemas.openxmlformats.org/officeDocument/2006/relationships/hyperlink" Target="mailto:arqradriel@hotmail.es" TargetMode="External"/><Relationship Id="rId148" Type="http://schemas.openxmlformats.org/officeDocument/2006/relationships/hyperlink" Target="mailto:woodysjimenez@gmail.com" TargetMode="External"/><Relationship Id="rId4" Type="http://schemas.openxmlformats.org/officeDocument/2006/relationships/hyperlink" Target="mailto:ingsidohawli@gmail.com" TargetMode="External"/><Relationship Id="rId9" Type="http://schemas.openxmlformats.org/officeDocument/2006/relationships/hyperlink" Target="mailto:zajorycodia@yahoo.es" TargetMode="External"/><Relationship Id="rId26" Type="http://schemas.openxmlformats.org/officeDocument/2006/relationships/hyperlink" Target="mailto:lvasquezt@gmail.com" TargetMode="External"/><Relationship Id="rId47" Type="http://schemas.openxmlformats.org/officeDocument/2006/relationships/hyperlink" Target="mailto:haquinocastillo@gmail.com" TargetMode="External"/><Relationship Id="rId68" Type="http://schemas.openxmlformats.org/officeDocument/2006/relationships/hyperlink" Target="mailto:maggisanchez56@yahoo.es" TargetMode="External"/><Relationship Id="rId89" Type="http://schemas.openxmlformats.org/officeDocument/2006/relationships/hyperlink" Target="mailto:mariep.vargas@hotmail.com" TargetMode="External"/><Relationship Id="rId112" Type="http://schemas.openxmlformats.org/officeDocument/2006/relationships/hyperlink" Target="mailto:cifres4@hotmail.com" TargetMode="External"/><Relationship Id="rId133" Type="http://schemas.openxmlformats.org/officeDocument/2006/relationships/hyperlink" Target="mailto:arq.banesahowley@hotmail.com" TargetMode="External"/><Relationship Id="rId154" Type="http://schemas.openxmlformats.org/officeDocument/2006/relationships/hyperlink" Target="mailto:emmanuel.grupokratos@gmail.com" TargetMode="External"/><Relationship Id="rId16" Type="http://schemas.openxmlformats.org/officeDocument/2006/relationships/hyperlink" Target="mailto:jonatanpaula3@gmail.com" TargetMode="External"/><Relationship Id="rId37" Type="http://schemas.openxmlformats.org/officeDocument/2006/relationships/hyperlink" Target="mailto:elcastorconstruye@gmail.com" TargetMode="External"/><Relationship Id="rId58" Type="http://schemas.openxmlformats.org/officeDocument/2006/relationships/hyperlink" Target="mailto:cristhian_peralta01@gmail.com" TargetMode="External"/><Relationship Id="rId79" Type="http://schemas.openxmlformats.org/officeDocument/2006/relationships/hyperlink" Target="mailto:elenacabrera07@gmail.com" TargetMode="External"/><Relationship Id="rId102" Type="http://schemas.openxmlformats.org/officeDocument/2006/relationships/hyperlink" Target="mailto:collado23@gmail.com" TargetMode="External"/><Relationship Id="rId123" Type="http://schemas.openxmlformats.org/officeDocument/2006/relationships/hyperlink" Target="mailto:javielmora23@hotmail.com" TargetMode="External"/><Relationship Id="rId144" Type="http://schemas.openxmlformats.org/officeDocument/2006/relationships/hyperlink" Target="mailto:evenecer.arm@hotmail.com" TargetMode="External"/><Relationship Id="rId90" Type="http://schemas.openxmlformats.org/officeDocument/2006/relationships/hyperlink" Target="mailto:pedrojoserodriguezmoris@hotmail.com" TargetMode="External"/><Relationship Id="rId27" Type="http://schemas.openxmlformats.org/officeDocument/2006/relationships/hyperlink" Target="mailto:ingetectura@hotmail.com" TargetMode="External"/><Relationship Id="rId48" Type="http://schemas.openxmlformats.org/officeDocument/2006/relationships/hyperlink" Target="mailto:ramdlrosa28@hotmail.com" TargetMode="External"/><Relationship Id="rId69" Type="http://schemas.openxmlformats.org/officeDocument/2006/relationships/hyperlink" Target="mailto:eferia@construtek.com" TargetMode="External"/><Relationship Id="rId113" Type="http://schemas.openxmlformats.org/officeDocument/2006/relationships/hyperlink" Target="mailto:jeandave777@gmail.com" TargetMode="External"/><Relationship Id="rId134" Type="http://schemas.openxmlformats.org/officeDocument/2006/relationships/hyperlink" Target="mailto:juniorandujar2020@hotmail.com" TargetMode="External"/><Relationship Id="rId80" Type="http://schemas.openxmlformats.org/officeDocument/2006/relationships/hyperlink" Target="mailto:joem16@gmail.com" TargetMode="External"/><Relationship Id="rId155" Type="http://schemas.openxmlformats.org/officeDocument/2006/relationships/hyperlink" Target="mailto:vlasanchez@yahoo.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47"/>
  <sheetViews>
    <sheetView workbookViewId="0"/>
  </sheetViews>
  <sheetFormatPr baseColWidth="10" defaultColWidth="11.42578125" defaultRowHeight="15" x14ac:dyDescent="0.25"/>
  <cols>
    <col min="1" max="1" width="3.140625" style="1" customWidth="1"/>
    <col min="2" max="2" width="0.28515625" style="1" customWidth="1"/>
    <col min="3" max="3" width="26.5703125" style="1" bestFit="1" customWidth="1"/>
    <col min="4" max="4" width="19.42578125" style="38" customWidth="1"/>
    <col min="5" max="5" width="19.140625" style="1" customWidth="1"/>
    <col min="6" max="6" width="23.5703125" style="3" customWidth="1"/>
    <col min="7" max="7" width="20.7109375" style="8" customWidth="1"/>
    <col min="8" max="8" width="14.140625" style="8" customWidth="1"/>
    <col min="9" max="9" width="15.28515625" style="3" customWidth="1"/>
    <col min="10" max="10" width="21" style="6" customWidth="1"/>
    <col min="11" max="11" width="16.5703125" style="6" bestFit="1" customWidth="1"/>
    <col min="13" max="13" width="3.42578125" customWidth="1"/>
  </cols>
  <sheetData>
    <row r="1" spans="1:12" ht="15" customHeight="1" x14ac:dyDescent="0.25">
      <c r="A1" s="5"/>
      <c r="B1" s="5"/>
      <c r="C1" s="5"/>
      <c r="E1" s="33"/>
      <c r="F1" s="5"/>
      <c r="G1" s="5"/>
      <c r="H1" s="5"/>
      <c r="I1" s="5"/>
    </row>
    <row r="2" spans="1:12" ht="15" customHeight="1" x14ac:dyDescent="0.25">
      <c r="A2" s="5"/>
      <c r="B2" s="5"/>
      <c r="C2" s="5"/>
      <c r="D2" s="37"/>
      <c r="E2" s="37"/>
      <c r="F2" s="33"/>
      <c r="G2" s="33"/>
      <c r="H2" s="33"/>
      <c r="I2" s="5"/>
    </row>
    <row r="3" spans="1:12" ht="27" customHeight="1" x14ac:dyDescent="0.25">
      <c r="A3" s="5"/>
      <c r="B3" s="5"/>
      <c r="C3" s="5"/>
      <c r="E3" s="379" t="s">
        <v>15</v>
      </c>
      <c r="F3" s="379"/>
      <c r="G3" s="379"/>
      <c r="H3" s="379"/>
      <c r="I3" s="5"/>
    </row>
    <row r="4" spans="1:12" ht="15" customHeight="1" x14ac:dyDescent="0.25">
      <c r="B4" s="5"/>
      <c r="C4" s="5"/>
      <c r="D4" s="380"/>
      <c r="E4" s="380"/>
      <c r="F4" s="380"/>
      <c r="G4" s="380"/>
      <c r="H4" s="380"/>
    </row>
    <row r="5" spans="1:12" ht="7.9" customHeight="1" x14ac:dyDescent="0.25">
      <c r="B5" s="5"/>
      <c r="C5" s="5"/>
      <c r="D5" s="5"/>
      <c r="E5" s="33"/>
      <c r="F5" s="5"/>
      <c r="G5" s="5"/>
      <c r="H5" s="5"/>
    </row>
    <row r="6" spans="1:12" ht="16.5" customHeight="1" x14ac:dyDescent="0.25">
      <c r="E6" s="378"/>
      <c r="F6" s="378"/>
      <c r="G6" s="378"/>
      <c r="H6" s="39"/>
    </row>
    <row r="7" spans="1:12" s="7" customFormat="1" ht="30" x14ac:dyDescent="0.25">
      <c r="A7" s="38"/>
      <c r="B7" s="38"/>
      <c r="C7" s="38" t="s">
        <v>16</v>
      </c>
      <c r="D7" s="8" t="s">
        <v>17</v>
      </c>
      <c r="E7" s="8" t="s">
        <v>18</v>
      </c>
      <c r="F7" s="8" t="s">
        <v>19</v>
      </c>
      <c r="G7" s="8" t="s">
        <v>20</v>
      </c>
      <c r="H7" s="8" t="s">
        <v>21</v>
      </c>
      <c r="I7" s="8" t="s">
        <v>22</v>
      </c>
      <c r="J7" s="8" t="s">
        <v>23</v>
      </c>
      <c r="K7" s="8" t="s">
        <v>24</v>
      </c>
      <c r="L7" s="7" t="s">
        <v>25</v>
      </c>
    </row>
    <row r="8" spans="1:12" ht="15.75" x14ac:dyDescent="0.25">
      <c r="C8" s="40" t="s">
        <v>26</v>
      </c>
      <c r="D8" s="47">
        <f>+'estado terrenos '!B6</f>
        <v>5</v>
      </c>
      <c r="E8" s="48">
        <f>+COUNTIFS('Seguimiento Julio 2024'!$C$12:$C$256,Tabla13[[#This Row],[PROVINCIA]],'Seguimiento Julio 2024'!$H$12:$H$256,'Seguimiento Julio 2024'!$H$20)</f>
        <v>0</v>
      </c>
      <c r="F8" s="49">
        <f>+COUNTIFS('Seguimiento Julio 2024'!$C$12:$C$256,Tabla13[[#This Row],[PROVINCIA]],'Seguimiento Julio 2024'!$H$12:$H$256,'Seguimiento Julio 2024'!$H$14)</f>
        <v>3</v>
      </c>
      <c r="G8" s="49">
        <f>+COUNTIFS('Seguimiento Julio 2024'!$C$12:$C$256,Tabla13[[#This Row],[PROVINCIA]],'Seguimiento Julio 2024'!$H$12:$H$256,'Seguimiento Julio 2024'!$H$31)</f>
        <v>0</v>
      </c>
      <c r="H8" s="49">
        <f>+COUNTIFS('Seguimiento Julio 2024'!$C$12:$C$256,Tabla13[[#This Row],[PROVINCIA]],'Seguimiento Julio 2024'!$H$12:$H$256,'Seguimiento Julio 2024'!$H$22)</f>
        <v>3</v>
      </c>
      <c r="I8" s="49">
        <f>SUM(Tabla13[[#This Row],[CAIPI DETENIDO POR PAGO TERRENO]:[CAIPI DETENIDO]])</f>
        <v>6</v>
      </c>
      <c r="J8" s="49">
        <f>+COUNTIFS('Seguimiento Julio 2024'!$C$12:$C$256,Tabla13[[#This Row],[PROVINCIA]],'Seguimiento Julio 2024'!$I$12:$I$256,'Seguimiento Julio 2024'!$I$24)</f>
        <v>4</v>
      </c>
      <c r="K8" s="49">
        <f>+COUNTIFS('Seguimiento Julio 2024'!$C$12:$C$256,Tabla13[[#This Row],[PROVINCIA]],'Seguimiento Julio 2024'!$I$12:$I$256,'Seguimiento Julio 2024'!$I$28)</f>
        <v>0</v>
      </c>
      <c r="L8" s="49">
        <f>COUNTIFS('Seguimiento Julio 2024'!$C$12:$C$256,'estado terrenos '!A6,'Seguimiento Julio 2024'!$H$12:$H$256,'Seguimiento Julio 2024'!$H$15)</f>
        <v>1</v>
      </c>
    </row>
    <row r="9" spans="1:12" ht="15.75" x14ac:dyDescent="0.25">
      <c r="C9" s="40" t="s">
        <v>27</v>
      </c>
      <c r="D9" s="47">
        <f>+'estado terrenos '!B7</f>
        <v>5</v>
      </c>
      <c r="E9" s="48">
        <f>+COUNTIFS('Seguimiento Julio 2024'!$C$12:$C$256,Tabla13[[#This Row],[PROVINCIA]],'Seguimiento Julio 2024'!$H$12:$H$256,'Seguimiento Julio 2024'!$H$20)</f>
        <v>0</v>
      </c>
      <c r="F9" s="49">
        <f>+COUNTIFS('Seguimiento Julio 2024'!$C$12:$C$256,Tabla13[[#This Row],[PROVINCIA]],'Seguimiento Julio 2024'!$H$12:$H$256,'Seguimiento Julio 2024'!$H$14)</f>
        <v>1</v>
      </c>
      <c r="G9" s="49">
        <f>+COUNTIFS('Seguimiento Julio 2024'!$C$12:$C$256,Tabla13[[#This Row],[PROVINCIA]],'Seguimiento Julio 2024'!$H$12:$H$256,'Seguimiento Julio 2024'!$H$31)</f>
        <v>3</v>
      </c>
      <c r="H9" s="49">
        <f>+COUNTIFS('Seguimiento Julio 2024'!$C$12:$C$256,Tabla13[[#This Row],[PROVINCIA]],'Seguimiento Julio 2024'!$H$12:$H$256,'Seguimiento Julio 2024'!$H$22)</f>
        <v>1</v>
      </c>
      <c r="I9" s="49">
        <f>SUM(Tabla13[[#This Row],[CAIPI DETENIDO POR PAGO TERRENO]:[CAIPI DETENIDO]])</f>
        <v>5</v>
      </c>
      <c r="J9" s="49">
        <f>+COUNTIFS('Seguimiento Julio 2024'!$C$12:$C$256,Tabla13[[#This Row],[PROVINCIA]],'Seguimiento Julio 2024'!$I$12:$I$256,'Seguimiento Julio 2024'!$I$24)</f>
        <v>4</v>
      </c>
      <c r="K9" s="49">
        <f>+COUNTIFS('Seguimiento Julio 2024'!$C$12:$C$256,Tabla13[[#This Row],[PROVINCIA]],'Seguimiento Julio 2024'!$I$12:$I$256,'Seguimiento Julio 2024'!$I$28)</f>
        <v>1</v>
      </c>
      <c r="L9" s="49">
        <f>COUNTIFS('Seguimiento Julio 2024'!$C$12:$C$256,'estado terrenos '!A7,'Seguimiento Julio 2024'!$H$12:$H$256,'Seguimiento Julio 2024'!$H$15)</f>
        <v>0</v>
      </c>
    </row>
    <row r="10" spans="1:12" ht="15.75" x14ac:dyDescent="0.25">
      <c r="C10" s="40" t="s">
        <v>28</v>
      </c>
      <c r="D10" s="47">
        <f>+'estado terrenos '!B8</f>
        <v>5</v>
      </c>
      <c r="E10" s="48">
        <f>+COUNTIFS('Seguimiento Julio 2024'!$C$12:$C$256,Tabla13[[#This Row],[PROVINCIA]],'Seguimiento Julio 2024'!$H$12:$H$256,'Seguimiento Julio 2024'!$H$20)</f>
        <v>1</v>
      </c>
      <c r="F10" s="49">
        <f>+COUNTIFS('Seguimiento Julio 2024'!$C$12:$C$256,Tabla13[[#This Row],[PROVINCIA]],'Seguimiento Julio 2024'!$H$12:$H$256,'Seguimiento Julio 2024'!$H$14)</f>
        <v>2</v>
      </c>
      <c r="G10" s="49">
        <f>+COUNTIFS('Seguimiento Julio 2024'!$C$12:$C$256,Tabla13[[#This Row],[PROVINCIA]],'Seguimiento Julio 2024'!$H$12:$H$256,'Seguimiento Julio 2024'!$H$31)</f>
        <v>0</v>
      </c>
      <c r="H10" s="49">
        <f>+COUNTIFS('Seguimiento Julio 2024'!$C$12:$C$256,Tabla13[[#This Row],[PROVINCIA]],'Seguimiento Julio 2024'!$H$12:$H$256,'Seguimiento Julio 2024'!$H$22)</f>
        <v>2</v>
      </c>
      <c r="I10" s="49">
        <f>SUM(Tabla13[[#This Row],[CAIPI DETENIDO POR PAGO TERRENO]:[CAIPI DETENIDO]])</f>
        <v>5</v>
      </c>
      <c r="J10" s="49">
        <f>+COUNTIFS('Seguimiento Julio 2024'!$C$12:$C$256,Tabla13[[#This Row],[PROVINCIA]],'Seguimiento Julio 2024'!$I$12:$I$256,'Seguimiento Julio 2024'!$I$24)</f>
        <v>4</v>
      </c>
      <c r="K10" s="49">
        <f>+COUNTIFS('Seguimiento Julio 2024'!$C$12:$C$256,Tabla13[[#This Row],[PROVINCIA]],'Seguimiento Julio 2024'!$I$12:$I$256,'Seguimiento Julio 2024'!$I$28)</f>
        <v>1</v>
      </c>
      <c r="L10" s="49">
        <f>COUNTIFS('Seguimiento Julio 2024'!$C$12:$C$256,'estado terrenos '!A8,'Seguimiento Julio 2024'!$H$12:$H$256,'Seguimiento Julio 2024'!$H$15)</f>
        <v>1</v>
      </c>
    </row>
    <row r="11" spans="1:12" x14ac:dyDescent="0.25">
      <c r="C11" s="44" t="s">
        <v>29</v>
      </c>
      <c r="D11" s="47">
        <f>+'estado terrenos '!B9</f>
        <v>3</v>
      </c>
      <c r="E11" s="48">
        <f>+COUNTIFS('Seguimiento Julio 2024'!$C$12:$C$256,Tabla13[[#This Row],[PROVINCIA]],'Seguimiento Julio 2024'!$H$12:$H$256,'Seguimiento Julio 2024'!$H$20)</f>
        <v>2</v>
      </c>
      <c r="F11" s="49">
        <f>+COUNTIFS('Seguimiento Julio 2024'!$C$12:$C$256,Tabla13[[#This Row],[PROVINCIA]],'Seguimiento Julio 2024'!$H$12:$H$256,'Seguimiento Julio 2024'!$H$14)</f>
        <v>0</v>
      </c>
      <c r="G11" s="49">
        <f>+COUNTIFS('Seguimiento Julio 2024'!$C$12:$C$256,Tabla13[[#This Row],[PROVINCIA]],'Seguimiento Julio 2024'!$H$12:$H$256,'Seguimiento Julio 2024'!$H$31)</f>
        <v>0</v>
      </c>
      <c r="H11" s="49">
        <f>+COUNTIFS('Seguimiento Julio 2024'!$C$12:$C$256,Tabla13[[#This Row],[PROVINCIA]],'Seguimiento Julio 2024'!$H$12:$H$256,'Seguimiento Julio 2024'!$H$22)</f>
        <v>0</v>
      </c>
      <c r="I11" s="49">
        <f>SUM(Tabla13[[#This Row],[CAIPI DETENIDO POR PAGO TERRENO]:[CAIPI DETENIDO]])</f>
        <v>2</v>
      </c>
      <c r="J11" s="49">
        <f>+COUNTIFS('Seguimiento Julio 2024'!$C$12:$C$256,Tabla13[[#This Row],[PROVINCIA]],'Seguimiento Julio 2024'!$I$12:$I$256,'Seguimiento Julio 2024'!$I$24)</f>
        <v>2</v>
      </c>
      <c r="K11" s="49">
        <f>+COUNTIFS('Seguimiento Julio 2024'!$C$12:$C$256,Tabla13[[#This Row],[PROVINCIA]],'Seguimiento Julio 2024'!$I$12:$I$256,'Seguimiento Julio 2024'!$I$28)</f>
        <v>0</v>
      </c>
      <c r="L11" s="49">
        <f>COUNTIFS('Seguimiento Julio 2024'!$C$12:$C$256,'estado terrenos '!A9,'Seguimiento Julio 2024'!$H$12:$H$256,'Seguimiento Julio 2024'!$H$15)</f>
        <v>0</v>
      </c>
    </row>
    <row r="12" spans="1:12" x14ac:dyDescent="0.25">
      <c r="C12" s="44" t="s">
        <v>30</v>
      </c>
      <c r="D12" s="47">
        <f>+'estado terrenos '!B10</f>
        <v>14</v>
      </c>
      <c r="E12" s="48">
        <f>+COUNTIFS('Seguimiento Julio 2024'!$C$12:$C$256,Tabla13[[#This Row],[PROVINCIA]],'Seguimiento Julio 2024'!$H$12:$H$256,'Seguimiento Julio 2024'!$H$20)</f>
        <v>2</v>
      </c>
      <c r="F12" s="49">
        <f>+COUNTIFS('Seguimiento Julio 2024'!$C$12:$C$256,Tabla13[[#This Row],[PROVINCIA]],'Seguimiento Julio 2024'!$H$12:$H$256,'Seguimiento Julio 2024'!$H$14)</f>
        <v>3</v>
      </c>
      <c r="G12" s="49">
        <f>+COUNTIFS('Seguimiento Julio 2024'!$C$12:$C$256,Tabla13[[#This Row],[PROVINCIA]],'Seguimiento Julio 2024'!$H$12:$H$256,'Seguimiento Julio 2024'!$H$31)</f>
        <v>3</v>
      </c>
      <c r="H12" s="49">
        <f>+COUNTIFS('Seguimiento Julio 2024'!$C$12:$C$256,Tabla13[[#This Row],[PROVINCIA]],'Seguimiento Julio 2024'!$H$12:$H$256,'Seguimiento Julio 2024'!$H$22)</f>
        <v>3</v>
      </c>
      <c r="I12" s="49">
        <f>SUM(Tabla13[[#This Row],[CAIPI DETENIDO POR PAGO TERRENO]:[CAIPI DETENIDO]])</f>
        <v>11</v>
      </c>
      <c r="J12" s="49">
        <f>+COUNTIFS('Seguimiento Julio 2024'!$C$12:$C$256,Tabla13[[#This Row],[PROVINCIA]],'Seguimiento Julio 2024'!$I$12:$I$256,'Seguimiento Julio 2024'!$I$24)</f>
        <v>9</v>
      </c>
      <c r="K12" s="49">
        <f>+COUNTIFS('Seguimiento Julio 2024'!$C$12:$C$256,Tabla13[[#This Row],[PROVINCIA]],'Seguimiento Julio 2024'!$I$12:$I$256,'Seguimiento Julio 2024'!$I$28)</f>
        <v>1</v>
      </c>
      <c r="L12" s="49">
        <f>COUNTIFS('Seguimiento Julio 2024'!$C$12:$C$256,'estado terrenos '!A10,'Seguimiento Julio 2024'!$H$12:$H$256,'Seguimiento Julio 2024'!$H$15)</f>
        <v>0</v>
      </c>
    </row>
    <row r="13" spans="1:12" x14ac:dyDescent="0.25">
      <c r="C13" s="44" t="s">
        <v>31</v>
      </c>
      <c r="D13" s="47">
        <f>+'estado terrenos '!B11</f>
        <v>6</v>
      </c>
      <c r="E13" s="48">
        <f>+COUNTIFS('Seguimiento Julio 2024'!$C$12:$C$256,Tabla13[[#This Row],[PROVINCIA]],'Seguimiento Julio 2024'!$H$12:$H$256,'Seguimiento Julio 2024'!$H$20)</f>
        <v>0</v>
      </c>
      <c r="F13" s="49">
        <f>+COUNTIFS('Seguimiento Julio 2024'!$C$12:$C$256,Tabla13[[#This Row],[PROVINCIA]],'Seguimiento Julio 2024'!$H$12:$H$256,'Seguimiento Julio 2024'!$H$14)</f>
        <v>4</v>
      </c>
      <c r="G13" s="49">
        <f>+COUNTIFS('Seguimiento Julio 2024'!$C$12:$C$256,Tabla13[[#This Row],[PROVINCIA]],'Seguimiento Julio 2024'!$H$12:$H$256,'Seguimiento Julio 2024'!$H$31)</f>
        <v>1</v>
      </c>
      <c r="H13" s="49">
        <f>+COUNTIFS('Seguimiento Julio 2024'!$C$12:$C$256,Tabla13[[#This Row],[PROVINCIA]],'Seguimiento Julio 2024'!$H$12:$H$256,'Seguimiento Julio 2024'!$H$22)</f>
        <v>4</v>
      </c>
      <c r="I13" s="49">
        <f>SUM(Tabla13[[#This Row],[CAIPI DETENIDO POR PAGO TERRENO]:[CAIPI DETENIDO]])</f>
        <v>9</v>
      </c>
      <c r="J13" s="49">
        <f>+COUNTIFS('Seguimiento Julio 2024'!$C$12:$C$256,Tabla13[[#This Row],[PROVINCIA]],'Seguimiento Julio 2024'!$I$12:$I$256,'Seguimiento Julio 2024'!$I$24)</f>
        <v>6</v>
      </c>
      <c r="K13" s="49">
        <f>+COUNTIFS('Seguimiento Julio 2024'!$C$12:$C$256,Tabla13[[#This Row],[PROVINCIA]],'Seguimiento Julio 2024'!$I$12:$I$256,'Seguimiento Julio 2024'!$I$28)</f>
        <v>0</v>
      </c>
      <c r="L13" s="49">
        <f>COUNTIFS('Seguimiento Julio 2024'!$C$12:$C$256,'estado terrenos '!A11,'Seguimiento Julio 2024'!$H$12:$H$256,'Seguimiento Julio 2024'!$H$15)</f>
        <v>0</v>
      </c>
    </row>
    <row r="14" spans="1:12" x14ac:dyDescent="0.25">
      <c r="C14" s="44" t="s">
        <v>32</v>
      </c>
      <c r="D14" s="47">
        <f>+'estado terrenos '!B12</f>
        <v>2</v>
      </c>
      <c r="E14" s="48">
        <f>+COUNTIFS('Seguimiento Julio 2024'!$C$12:$C$256,Tabla13[[#This Row],[PROVINCIA]],'Seguimiento Julio 2024'!$H$12:$H$256,'Seguimiento Julio 2024'!$H$20)</f>
        <v>0</v>
      </c>
      <c r="F14" s="49">
        <f>+COUNTIFS('Seguimiento Julio 2024'!$C$12:$C$256,Tabla13[[#This Row],[PROVINCIA]],'Seguimiento Julio 2024'!$H$12:$H$256,'Seguimiento Julio 2024'!$H$14)</f>
        <v>1</v>
      </c>
      <c r="G14" s="49">
        <f>+COUNTIFS('Seguimiento Julio 2024'!$C$12:$C$256,Tabla13[[#This Row],[PROVINCIA]],'Seguimiento Julio 2024'!$H$12:$H$256,'Seguimiento Julio 2024'!$H$31)</f>
        <v>0</v>
      </c>
      <c r="H14" s="49">
        <f>+COUNTIFS('Seguimiento Julio 2024'!$C$12:$C$256,Tabla13[[#This Row],[PROVINCIA]],'Seguimiento Julio 2024'!$H$12:$H$256,'Seguimiento Julio 2024'!$H$22)</f>
        <v>1</v>
      </c>
      <c r="I14" s="49">
        <f>SUM(Tabla13[[#This Row],[CAIPI DETENIDO POR PAGO TERRENO]:[CAIPI DETENIDO]])</f>
        <v>2</v>
      </c>
      <c r="J14" s="49">
        <f>+COUNTIFS('Seguimiento Julio 2024'!$C$12:$C$256,Tabla13[[#This Row],[PROVINCIA]],'Seguimiento Julio 2024'!$I$12:$I$256,'Seguimiento Julio 2024'!$I$24)</f>
        <v>1</v>
      </c>
      <c r="K14" s="49">
        <f>+COUNTIFS('Seguimiento Julio 2024'!$C$12:$C$256,Tabla13[[#This Row],[PROVINCIA]],'Seguimiento Julio 2024'!$I$12:$I$256,'Seguimiento Julio 2024'!$I$28)</f>
        <v>0</v>
      </c>
      <c r="L14" s="49">
        <f>COUNTIFS('Seguimiento Julio 2024'!$C$12:$C$256,'estado terrenos '!A12,'Seguimiento Julio 2024'!$H$12:$H$256,'Seguimiento Julio 2024'!$H$15)</f>
        <v>0</v>
      </c>
    </row>
    <row r="15" spans="1:12" x14ac:dyDescent="0.25">
      <c r="C15" s="44" t="s">
        <v>33</v>
      </c>
      <c r="D15" s="47">
        <f>+'estado terrenos '!B13</f>
        <v>2</v>
      </c>
      <c r="E15" s="48">
        <f>+COUNTIFS('Seguimiento Julio 2024'!$C$12:$C$256,Tabla13[[#This Row],[PROVINCIA]],'Seguimiento Julio 2024'!$H$12:$H$256,'Seguimiento Julio 2024'!$H$20)</f>
        <v>0</v>
      </c>
      <c r="F15" s="49">
        <f>+COUNTIFS('Seguimiento Julio 2024'!$C$12:$C$256,Tabla13[[#This Row],[PROVINCIA]],'Seguimiento Julio 2024'!$H$12:$H$256,'Seguimiento Julio 2024'!$H$14)</f>
        <v>0</v>
      </c>
      <c r="G15" s="49">
        <f>+COUNTIFS('Seguimiento Julio 2024'!$C$12:$C$256,Tabla13[[#This Row],[PROVINCIA]],'Seguimiento Julio 2024'!$H$12:$H$256,'Seguimiento Julio 2024'!$H$31)</f>
        <v>0</v>
      </c>
      <c r="H15" s="49">
        <f>+COUNTIFS('Seguimiento Julio 2024'!$C$12:$C$256,Tabla13[[#This Row],[PROVINCIA]],'Seguimiento Julio 2024'!$H$12:$H$256,'Seguimiento Julio 2024'!$H$22)</f>
        <v>0</v>
      </c>
      <c r="I15" s="49">
        <f>SUM(Tabla13[[#This Row],[CAIPI DETENIDO POR PAGO TERRENO]:[CAIPI DETENIDO]])</f>
        <v>0</v>
      </c>
      <c r="J15" s="49">
        <f>+COUNTIFS('Seguimiento Julio 2024'!$C$12:$C$256,Tabla13[[#This Row],[PROVINCIA]],'Seguimiento Julio 2024'!$I$12:$I$256,'Seguimiento Julio 2024'!$I$24)</f>
        <v>0</v>
      </c>
      <c r="K15" s="49">
        <f>+COUNTIFS('Seguimiento Julio 2024'!$C$12:$C$256,Tabla13[[#This Row],[PROVINCIA]],'Seguimiento Julio 2024'!$I$12:$I$256,'Seguimiento Julio 2024'!$I$28)</f>
        <v>0</v>
      </c>
      <c r="L15" s="49">
        <f>COUNTIFS('Seguimiento Julio 2024'!$C$12:$C$256,'estado terrenos '!A13,'Seguimiento Julio 2024'!$H$12:$H$256,'Seguimiento Julio 2024'!$H$15)</f>
        <v>0</v>
      </c>
    </row>
    <row r="16" spans="1:12" x14ac:dyDescent="0.25">
      <c r="C16" s="44" t="s">
        <v>34</v>
      </c>
      <c r="D16" s="47">
        <f>+'estado terrenos '!B14</f>
        <v>6</v>
      </c>
      <c r="E16" s="48">
        <f>+COUNTIFS('Seguimiento Julio 2024'!$C$12:$C$256,Tabla13[[#This Row],[PROVINCIA]],'Seguimiento Julio 2024'!$H$12:$H$256,'Seguimiento Julio 2024'!$H$20)</f>
        <v>0</v>
      </c>
      <c r="F16" s="49">
        <f>+COUNTIFS('Seguimiento Julio 2024'!$C$12:$C$256,Tabla13[[#This Row],[PROVINCIA]],'Seguimiento Julio 2024'!$H$12:$H$256,'Seguimiento Julio 2024'!$H$14)</f>
        <v>3</v>
      </c>
      <c r="G16" s="49">
        <f>+COUNTIFS('Seguimiento Julio 2024'!$C$12:$C$256,Tabla13[[#This Row],[PROVINCIA]],'Seguimiento Julio 2024'!$H$12:$H$256,'Seguimiento Julio 2024'!$H$31)</f>
        <v>1</v>
      </c>
      <c r="H16" s="49">
        <f>+COUNTIFS('Seguimiento Julio 2024'!$C$12:$C$256,Tabla13[[#This Row],[PROVINCIA]],'Seguimiento Julio 2024'!$H$12:$H$256,'Seguimiento Julio 2024'!$H$22)</f>
        <v>3</v>
      </c>
      <c r="I16" s="49">
        <f>SUM(Tabla13[[#This Row],[CAIPI DETENIDO POR PAGO TERRENO]:[CAIPI DETENIDO]])</f>
        <v>7</v>
      </c>
      <c r="J16" s="49">
        <f>+COUNTIFS('Seguimiento Julio 2024'!$C$12:$C$256,Tabla13[[#This Row],[PROVINCIA]],'Seguimiento Julio 2024'!$I$12:$I$256,'Seguimiento Julio 2024'!$I$24)</f>
        <v>5</v>
      </c>
      <c r="K16" s="49">
        <f>+COUNTIFS('Seguimiento Julio 2024'!$C$12:$C$256,Tabla13[[#This Row],[PROVINCIA]],'Seguimiento Julio 2024'!$I$12:$I$256,'Seguimiento Julio 2024'!$I$28)</f>
        <v>1</v>
      </c>
      <c r="L16" s="49">
        <f>COUNTIFS('Seguimiento Julio 2024'!$C$12:$C$256,'estado terrenos '!A14,'Seguimiento Julio 2024'!$H$12:$H$256,'Seguimiento Julio 2024'!$H$15)</f>
        <v>1</v>
      </c>
    </row>
    <row r="17" spans="1:12" x14ac:dyDescent="0.25">
      <c r="C17" s="44" t="s">
        <v>35</v>
      </c>
      <c r="D17" s="47">
        <f>+'estado terrenos '!B15</f>
        <v>3</v>
      </c>
      <c r="E17" s="48">
        <f>+COUNTIFS('Seguimiento Julio 2024'!$C$12:$C$256,Tabla13[[#This Row],[PROVINCIA]],'Seguimiento Julio 2024'!$H$12:$H$256,'Seguimiento Julio 2024'!$H$20)</f>
        <v>1</v>
      </c>
      <c r="F17" s="49">
        <f>+COUNTIFS('Seguimiento Julio 2024'!$C$12:$C$256,Tabla13[[#This Row],[PROVINCIA]],'Seguimiento Julio 2024'!$H$12:$H$256,'Seguimiento Julio 2024'!$H$14)</f>
        <v>0</v>
      </c>
      <c r="G17" s="49">
        <f>+COUNTIFS('Seguimiento Julio 2024'!$C$12:$C$256,Tabla13[[#This Row],[PROVINCIA]],'Seguimiento Julio 2024'!$H$12:$H$256,'Seguimiento Julio 2024'!$H$31)</f>
        <v>0</v>
      </c>
      <c r="H17" s="49">
        <f>+COUNTIFS('Seguimiento Julio 2024'!$C$12:$C$256,Tabla13[[#This Row],[PROVINCIA]],'Seguimiento Julio 2024'!$H$12:$H$256,'Seguimiento Julio 2024'!$H$22)</f>
        <v>0</v>
      </c>
      <c r="I17" s="49">
        <f>SUM(Tabla13[[#This Row],[CAIPI DETENIDO POR PAGO TERRENO]:[CAIPI DETENIDO]])</f>
        <v>1</v>
      </c>
      <c r="J17" s="49">
        <f>+COUNTIFS('Seguimiento Julio 2024'!$C$12:$C$256,Tabla13[[#This Row],[PROVINCIA]],'Seguimiento Julio 2024'!$I$12:$I$256,'Seguimiento Julio 2024'!$I$24)</f>
        <v>3</v>
      </c>
      <c r="K17" s="49">
        <f>+COUNTIFS('Seguimiento Julio 2024'!$C$12:$C$256,Tabla13[[#This Row],[PROVINCIA]],'Seguimiento Julio 2024'!$I$12:$I$256,'Seguimiento Julio 2024'!$I$28)</f>
        <v>0</v>
      </c>
      <c r="L17" s="49">
        <f>COUNTIFS('Seguimiento Julio 2024'!$C$12:$C$256,'estado terrenos '!A15,'Seguimiento Julio 2024'!$H$12:$H$256,'Seguimiento Julio 2024'!$H$15)</f>
        <v>1</v>
      </c>
    </row>
    <row r="18" spans="1:12" x14ac:dyDescent="0.25">
      <c r="C18" s="44" t="s">
        <v>36</v>
      </c>
      <c r="D18" s="47">
        <f>+'estado terrenos '!B16</f>
        <v>3</v>
      </c>
      <c r="E18" s="48">
        <f>+COUNTIFS('Seguimiento Julio 2024'!$C$12:$C$256,Tabla13[[#This Row],[PROVINCIA]],'Seguimiento Julio 2024'!$H$12:$H$256,'Seguimiento Julio 2024'!$H$20)</f>
        <v>0</v>
      </c>
      <c r="F18" s="49">
        <f>+COUNTIFS('Seguimiento Julio 2024'!$C$12:$C$256,Tabla13[[#This Row],[PROVINCIA]],'Seguimiento Julio 2024'!$H$12:$H$256,'Seguimiento Julio 2024'!$H$14)</f>
        <v>1</v>
      </c>
      <c r="G18" s="49">
        <f>+COUNTIFS('Seguimiento Julio 2024'!$C$12:$C$256,Tabla13[[#This Row],[PROVINCIA]],'Seguimiento Julio 2024'!$H$12:$H$256,'Seguimiento Julio 2024'!$H$31)</f>
        <v>0</v>
      </c>
      <c r="H18" s="49">
        <f>+COUNTIFS('Seguimiento Julio 2024'!$C$12:$C$256,Tabla13[[#This Row],[PROVINCIA]],'Seguimiento Julio 2024'!$H$12:$H$256,'Seguimiento Julio 2024'!$H$22)</f>
        <v>1</v>
      </c>
      <c r="I18" s="49">
        <f>SUM(Tabla13[[#This Row],[CAIPI DETENIDO POR PAGO TERRENO]:[CAIPI DETENIDO]])</f>
        <v>2</v>
      </c>
      <c r="J18" s="49">
        <f>+COUNTIFS('Seguimiento Julio 2024'!$C$12:$C$256,Tabla13[[#This Row],[PROVINCIA]],'Seguimiento Julio 2024'!$I$12:$I$256,'Seguimiento Julio 2024'!$I$24)</f>
        <v>2</v>
      </c>
      <c r="K18" s="49">
        <f>+COUNTIFS('Seguimiento Julio 2024'!$C$12:$C$256,Tabla13[[#This Row],[PROVINCIA]],'Seguimiento Julio 2024'!$I$12:$I$256,'Seguimiento Julio 2024'!$I$28)</f>
        <v>1</v>
      </c>
      <c r="L18" s="49">
        <f>COUNTIFS('Seguimiento Julio 2024'!$C$12:$C$256,'estado terrenos '!A16,'Seguimiento Julio 2024'!$H$12:$H$256,'Seguimiento Julio 2024'!$H$15)</f>
        <v>0</v>
      </c>
    </row>
    <row r="19" spans="1:12" x14ac:dyDescent="0.25">
      <c r="C19" s="44" t="s">
        <v>37</v>
      </c>
      <c r="D19" s="47">
        <f>+'estado terrenos '!B17</f>
        <v>4</v>
      </c>
      <c r="E19" s="48">
        <f>+COUNTIFS('Seguimiento Julio 2024'!$C$12:$C$256,Tabla13[[#This Row],[PROVINCIA]],'Seguimiento Julio 2024'!$H$12:$H$256,'Seguimiento Julio 2024'!$H$20)</f>
        <v>0</v>
      </c>
      <c r="F19" s="49">
        <f>+COUNTIFS('Seguimiento Julio 2024'!$C$12:$C$256,Tabla13[[#This Row],[PROVINCIA]],'Seguimiento Julio 2024'!$H$12:$H$256,'Seguimiento Julio 2024'!$H$14)</f>
        <v>2</v>
      </c>
      <c r="G19" s="49">
        <f>+COUNTIFS('Seguimiento Julio 2024'!$C$12:$C$256,Tabla13[[#This Row],[PROVINCIA]],'Seguimiento Julio 2024'!$H$12:$H$256,'Seguimiento Julio 2024'!$H$31)</f>
        <v>1</v>
      </c>
      <c r="H19" s="49">
        <f>+COUNTIFS('Seguimiento Julio 2024'!$C$12:$C$256,Tabla13[[#This Row],[PROVINCIA]],'Seguimiento Julio 2024'!$H$12:$H$256,'Seguimiento Julio 2024'!$H$22)</f>
        <v>2</v>
      </c>
      <c r="I19" s="49">
        <f>SUM(Tabla13[[#This Row],[CAIPI DETENIDO POR PAGO TERRENO]:[CAIPI DETENIDO]])</f>
        <v>5</v>
      </c>
      <c r="J19" s="49">
        <f>+COUNTIFS('Seguimiento Julio 2024'!$C$12:$C$256,Tabla13[[#This Row],[PROVINCIA]],'Seguimiento Julio 2024'!$I$12:$I$256,'Seguimiento Julio 2024'!$I$24)</f>
        <v>4</v>
      </c>
      <c r="K19" s="49">
        <f>+COUNTIFS('Seguimiento Julio 2024'!$C$12:$C$256,Tabla13[[#This Row],[PROVINCIA]],'Seguimiento Julio 2024'!$I$12:$I$256,'Seguimiento Julio 2024'!$I$28)</f>
        <v>0</v>
      </c>
      <c r="L19" s="49">
        <f>COUNTIFS('Seguimiento Julio 2024'!$C$12:$C$256,'estado terrenos '!A17,'Seguimiento Julio 2024'!$H$12:$H$256,'Seguimiento Julio 2024'!$H$15)</f>
        <v>1</v>
      </c>
    </row>
    <row r="20" spans="1:12" x14ac:dyDescent="0.25">
      <c r="C20" s="44" t="s">
        <v>38</v>
      </c>
      <c r="D20" s="47">
        <f>+'estado terrenos '!B18</f>
        <v>8</v>
      </c>
      <c r="E20" s="48">
        <f>+COUNTIFS('Seguimiento Julio 2024'!$C$12:$C$256,Tabla13[[#This Row],[PROVINCIA]],'Seguimiento Julio 2024'!$H$12:$H$256,'Seguimiento Julio 2024'!$H$20)</f>
        <v>0</v>
      </c>
      <c r="F20" s="49">
        <f>+COUNTIFS('Seguimiento Julio 2024'!$C$12:$C$256,Tabla13[[#This Row],[PROVINCIA]],'Seguimiento Julio 2024'!$H$12:$H$256,'Seguimiento Julio 2024'!$H$14)</f>
        <v>5</v>
      </c>
      <c r="G20" s="49">
        <f>+COUNTIFS('Seguimiento Julio 2024'!$C$12:$C$256,Tabla13[[#This Row],[PROVINCIA]],'Seguimiento Julio 2024'!$H$12:$H$256,'Seguimiento Julio 2024'!$H$31)</f>
        <v>2</v>
      </c>
      <c r="H20" s="49">
        <f>+COUNTIFS('Seguimiento Julio 2024'!$C$12:$C$256,Tabla13[[#This Row],[PROVINCIA]],'Seguimiento Julio 2024'!$H$12:$H$256,'Seguimiento Julio 2024'!$H$22)</f>
        <v>5</v>
      </c>
      <c r="I20" s="49">
        <f>SUM(Tabla13[[#This Row],[CAIPI DETENIDO POR PAGO TERRENO]:[CAIPI DETENIDO]])</f>
        <v>12</v>
      </c>
      <c r="J20" s="49">
        <f>+COUNTIFS('Seguimiento Julio 2024'!$C$12:$C$256,Tabla13[[#This Row],[PROVINCIA]],'Seguimiento Julio 2024'!$I$12:$I$256,'Seguimiento Julio 2024'!$I$24)</f>
        <v>8</v>
      </c>
      <c r="K20" s="49">
        <f>+COUNTIFS('Seguimiento Julio 2024'!$C$12:$C$256,Tabla13[[#This Row],[PROVINCIA]],'Seguimiento Julio 2024'!$I$12:$I$256,'Seguimiento Julio 2024'!$I$28)</f>
        <v>0</v>
      </c>
      <c r="L20" s="49">
        <f>COUNTIFS('Seguimiento Julio 2024'!$C$12:$C$256,'estado terrenos '!A18,'Seguimiento Julio 2024'!$H$12:$H$256,'Seguimiento Julio 2024'!$H$15)</f>
        <v>0</v>
      </c>
    </row>
    <row r="21" spans="1:12" x14ac:dyDescent="0.25">
      <c r="C21" s="44" t="s">
        <v>39</v>
      </c>
      <c r="D21" s="47">
        <f>+'estado terrenos '!B19</f>
        <v>7</v>
      </c>
      <c r="E21" s="48">
        <f>+COUNTIFS('Seguimiento Julio 2024'!$C$12:$C$256,Tabla13[[#This Row],[PROVINCIA]],'Seguimiento Julio 2024'!$H$12:$H$256,'Seguimiento Julio 2024'!$H$20)</f>
        <v>1</v>
      </c>
      <c r="F21" s="49">
        <f>+COUNTIFS('Seguimiento Julio 2024'!$C$12:$C$256,Tabla13[[#This Row],[PROVINCIA]],'Seguimiento Julio 2024'!$H$12:$H$256,'Seguimiento Julio 2024'!$H$14)</f>
        <v>4</v>
      </c>
      <c r="G21" s="49">
        <f>+COUNTIFS('Seguimiento Julio 2024'!$C$12:$C$256,Tabla13[[#This Row],[PROVINCIA]],'Seguimiento Julio 2024'!$H$12:$H$256,'Seguimiento Julio 2024'!$H$31)</f>
        <v>2</v>
      </c>
      <c r="H21" s="49">
        <f>+COUNTIFS('Seguimiento Julio 2024'!$C$12:$C$256,Tabla13[[#This Row],[PROVINCIA]],'Seguimiento Julio 2024'!$H$12:$H$256,'Seguimiento Julio 2024'!$H$22)</f>
        <v>4</v>
      </c>
      <c r="I21" s="49">
        <f>SUM(Tabla13[[#This Row],[CAIPI DETENIDO POR PAGO TERRENO]:[CAIPI DETENIDO]])</f>
        <v>11</v>
      </c>
      <c r="J21" s="49">
        <f>+COUNTIFS('Seguimiento Julio 2024'!$C$12:$C$256,Tabla13[[#This Row],[PROVINCIA]],'Seguimiento Julio 2024'!$I$12:$I$256,'Seguimiento Julio 2024'!$I$24)</f>
        <v>7</v>
      </c>
      <c r="K21" s="49">
        <f>+COUNTIFS('Seguimiento Julio 2024'!$C$12:$C$256,Tabla13[[#This Row],[PROVINCIA]],'Seguimiento Julio 2024'!$I$12:$I$256,'Seguimiento Julio 2024'!$I$28)</f>
        <v>0</v>
      </c>
      <c r="L21" s="49">
        <f>COUNTIFS('Seguimiento Julio 2024'!$C$12:$C$256,'estado terrenos '!A19,'Seguimiento Julio 2024'!$H$12:$H$256,'Seguimiento Julio 2024'!$H$15)</f>
        <v>0</v>
      </c>
    </row>
    <row r="22" spans="1:12" x14ac:dyDescent="0.25">
      <c r="C22" s="44" t="s">
        <v>40</v>
      </c>
      <c r="D22" s="47">
        <f>+'estado terrenos '!B20</f>
        <v>9</v>
      </c>
      <c r="E22" s="48">
        <f>+COUNTIFS('Seguimiento Julio 2024'!$C$12:$C$256,Tabla13[[#This Row],[PROVINCIA]],'Seguimiento Julio 2024'!$H$12:$H$256,'Seguimiento Julio 2024'!$H$20)</f>
        <v>2</v>
      </c>
      <c r="F22" s="49">
        <f>+COUNTIFS('Seguimiento Julio 2024'!$C$12:$C$256,Tabla13[[#This Row],[PROVINCIA]],'Seguimiento Julio 2024'!$H$12:$H$256,'Seguimiento Julio 2024'!$H$14)</f>
        <v>3</v>
      </c>
      <c r="G22" s="49">
        <f>+COUNTIFS('Seguimiento Julio 2024'!$C$12:$C$256,Tabla13[[#This Row],[PROVINCIA]],'Seguimiento Julio 2024'!$H$12:$H$256,'Seguimiento Julio 2024'!$H$31)</f>
        <v>1</v>
      </c>
      <c r="H22" s="49">
        <f>+COUNTIFS('Seguimiento Julio 2024'!$C$12:$C$256,Tabla13[[#This Row],[PROVINCIA]],'Seguimiento Julio 2024'!$H$12:$H$256,'Seguimiento Julio 2024'!$H$22)</f>
        <v>3</v>
      </c>
      <c r="I22" s="49">
        <f>SUM(Tabla13[[#This Row],[CAIPI DETENIDO POR PAGO TERRENO]:[CAIPI DETENIDO]])</f>
        <v>9</v>
      </c>
      <c r="J22" s="49">
        <f>+COUNTIFS('Seguimiento Julio 2024'!$C$12:$C$256,Tabla13[[#This Row],[PROVINCIA]],'Seguimiento Julio 2024'!$I$12:$I$256,'Seguimiento Julio 2024'!$I$24)</f>
        <v>7</v>
      </c>
      <c r="K22" s="49">
        <f>+COUNTIFS('Seguimiento Julio 2024'!$C$12:$C$256,Tabla13[[#This Row],[PROVINCIA]],'Seguimiento Julio 2024'!$I$12:$I$256,'Seguimiento Julio 2024'!$I$28)</f>
        <v>1</v>
      </c>
      <c r="L22" s="49">
        <f>COUNTIFS('Seguimiento Julio 2024'!$C$12:$C$256,'estado terrenos '!A20,'Seguimiento Julio 2024'!$H$12:$H$256,'Seguimiento Julio 2024'!$H$15)</f>
        <v>0</v>
      </c>
    </row>
    <row r="23" spans="1:12" s="7" customFormat="1" ht="28.5" x14ac:dyDescent="0.2">
      <c r="A23" s="38"/>
      <c r="B23" s="38"/>
      <c r="C23" s="44" t="s">
        <v>41</v>
      </c>
      <c r="D23" s="47">
        <f>+'estado terrenos '!B21</f>
        <v>3</v>
      </c>
      <c r="E23" s="48">
        <f>+COUNTIFS('Seguimiento Julio 2024'!$C$12:$C$256,Tabla13[[#This Row],[PROVINCIA]],'Seguimiento Julio 2024'!$H$12:$H$256,'Seguimiento Julio 2024'!$H$20)</f>
        <v>0</v>
      </c>
      <c r="F23" s="49">
        <f>+COUNTIFS('Seguimiento Julio 2024'!$C$12:$C$256,Tabla13[[#This Row],[PROVINCIA]],'Seguimiento Julio 2024'!$H$12:$H$256,'Seguimiento Julio 2024'!$H$14)</f>
        <v>0</v>
      </c>
      <c r="G23" s="49">
        <f>+COUNTIFS('Seguimiento Julio 2024'!$C$12:$C$256,Tabla13[[#This Row],[PROVINCIA]],'Seguimiento Julio 2024'!$H$12:$H$256,'Seguimiento Julio 2024'!$H$31)</f>
        <v>0</v>
      </c>
      <c r="H23" s="49">
        <f>+COUNTIFS('Seguimiento Julio 2024'!$C$12:$C$256,Tabla13[[#This Row],[PROVINCIA]],'Seguimiento Julio 2024'!$H$12:$H$256,'Seguimiento Julio 2024'!$H$22)</f>
        <v>0</v>
      </c>
      <c r="I23" s="50">
        <f>SUM(Tabla13[[#This Row],[CAIPI DETENIDO POR PAGO TERRENO]:[CAIPI DETENIDO]])</f>
        <v>0</v>
      </c>
      <c r="J23" s="50">
        <f>+COUNTIFS('Seguimiento Julio 2024'!$C$12:$C$256,Tabla13[[#This Row],[PROVINCIA]],'Seguimiento Julio 2024'!$I$12:$I$256,'Seguimiento Julio 2024'!$I$24)</f>
        <v>0</v>
      </c>
      <c r="K23" s="50">
        <f>+COUNTIFS('Seguimiento Julio 2024'!$C$12:$C$256,Tabla13[[#This Row],[PROVINCIA]],'Seguimiento Julio 2024'!$I$12:$I$256,'Seguimiento Julio 2024'!$I$28)</f>
        <v>0</v>
      </c>
      <c r="L23" s="50">
        <f>COUNTIFS('Seguimiento Julio 2024'!$C$12:$C$256,'estado terrenos '!A21,'Seguimiento Julio 2024'!$H$12:$H$256,'Seguimiento Julio 2024'!$H$15)</f>
        <v>1</v>
      </c>
    </row>
    <row r="24" spans="1:12" x14ac:dyDescent="0.25">
      <c r="C24" s="44" t="s">
        <v>42</v>
      </c>
      <c r="D24" s="47">
        <f>+'estado terrenos '!B22</f>
        <v>3</v>
      </c>
      <c r="E24" s="48">
        <f>+COUNTIFS('Seguimiento Julio 2024'!$C$12:$C$256,Tabla13[[#This Row],[PROVINCIA]],'Seguimiento Julio 2024'!$H$12:$H$256,'Seguimiento Julio 2024'!$H$20)</f>
        <v>1</v>
      </c>
      <c r="F24" s="49">
        <f>+COUNTIFS('Seguimiento Julio 2024'!$C$12:$C$256,Tabla13[[#This Row],[PROVINCIA]],'Seguimiento Julio 2024'!$H$12:$H$256,'Seguimiento Julio 2024'!$H$14)</f>
        <v>1</v>
      </c>
      <c r="G24" s="49">
        <f>+COUNTIFS('Seguimiento Julio 2024'!$C$12:$C$256,Tabla13[[#This Row],[PROVINCIA]],'Seguimiento Julio 2024'!$H$12:$H$256,'Seguimiento Julio 2024'!$H$31)</f>
        <v>0</v>
      </c>
      <c r="H24" s="49">
        <f>+COUNTIFS('Seguimiento Julio 2024'!$C$12:$C$256,Tabla13[[#This Row],[PROVINCIA]],'Seguimiento Julio 2024'!$H$12:$H$256,'Seguimiento Julio 2024'!$H$22)</f>
        <v>1</v>
      </c>
      <c r="I24" s="49">
        <f>SUM(Tabla13[[#This Row],[CAIPI DETENIDO POR PAGO TERRENO]:[CAIPI DETENIDO]])</f>
        <v>3</v>
      </c>
      <c r="J24" s="49">
        <f>+COUNTIFS('Seguimiento Julio 2024'!$C$12:$C$256,Tabla13[[#This Row],[PROVINCIA]],'Seguimiento Julio 2024'!$I$12:$I$256,'Seguimiento Julio 2024'!$I$24)</f>
        <v>2</v>
      </c>
      <c r="K24" s="49">
        <f>+COUNTIFS('Seguimiento Julio 2024'!$C$12:$C$256,Tabla13[[#This Row],[PROVINCIA]],'Seguimiento Julio 2024'!$I$12:$I$256,'Seguimiento Julio 2024'!$I$28)</f>
        <v>0</v>
      </c>
      <c r="L24" s="49">
        <f>COUNTIFS('Seguimiento Julio 2024'!$C$12:$C$256,'estado terrenos '!A22,'Seguimiento Julio 2024'!$H$12:$H$256,'Seguimiento Julio 2024'!$H$15)</f>
        <v>0</v>
      </c>
    </row>
    <row r="25" spans="1:12" x14ac:dyDescent="0.25">
      <c r="C25" s="44" t="s">
        <v>43</v>
      </c>
      <c r="D25" s="47">
        <f>+'estado terrenos '!B23</f>
        <v>4</v>
      </c>
      <c r="E25" s="48">
        <f>+COUNTIFS('Seguimiento Julio 2024'!$C$12:$C$256,Tabla13[[#This Row],[PROVINCIA]],'Seguimiento Julio 2024'!$H$12:$H$256,'Seguimiento Julio 2024'!$H$20)</f>
        <v>3</v>
      </c>
      <c r="F25" s="49">
        <f>+COUNTIFS('Seguimiento Julio 2024'!$C$12:$C$256,Tabla13[[#This Row],[PROVINCIA]],'Seguimiento Julio 2024'!$H$12:$H$256,'Seguimiento Julio 2024'!$H$14)</f>
        <v>0</v>
      </c>
      <c r="G25" s="49">
        <f>+COUNTIFS('Seguimiento Julio 2024'!$C$12:$C$256,Tabla13[[#This Row],[PROVINCIA]],'Seguimiento Julio 2024'!$H$12:$H$256,'Seguimiento Julio 2024'!$H$31)</f>
        <v>0</v>
      </c>
      <c r="H25" s="49">
        <f>+COUNTIFS('Seguimiento Julio 2024'!$C$12:$C$256,Tabla13[[#This Row],[PROVINCIA]],'Seguimiento Julio 2024'!$H$12:$H$256,'Seguimiento Julio 2024'!$H$22)</f>
        <v>0</v>
      </c>
      <c r="I25" s="49">
        <f>SUM(Tabla13[[#This Row],[CAIPI DETENIDO POR PAGO TERRENO]:[CAIPI DETENIDO]])</f>
        <v>3</v>
      </c>
      <c r="J25" s="49">
        <f>+COUNTIFS('Seguimiento Julio 2024'!$C$12:$C$256,Tabla13[[#This Row],[PROVINCIA]],'Seguimiento Julio 2024'!$I$12:$I$256,'Seguimiento Julio 2024'!$I$24)</f>
        <v>3</v>
      </c>
      <c r="K25" s="49">
        <f>+COUNTIFS('Seguimiento Julio 2024'!$C$12:$C$256,Tabla13[[#This Row],[PROVINCIA]],'Seguimiento Julio 2024'!$I$12:$I$256,'Seguimiento Julio 2024'!$I$28)</f>
        <v>0</v>
      </c>
      <c r="L25" s="49">
        <f>COUNTIFS('Seguimiento Julio 2024'!$C$12:$C$256,'estado terrenos '!A23,'Seguimiento Julio 2024'!$H$12:$H$256,'Seguimiento Julio 2024'!$H$15)</f>
        <v>0</v>
      </c>
    </row>
    <row r="26" spans="1:12" x14ac:dyDescent="0.25">
      <c r="C26" s="44" t="s">
        <v>44</v>
      </c>
      <c r="D26" s="47">
        <f>+'estado terrenos '!B24</f>
        <v>5</v>
      </c>
      <c r="E26" s="48">
        <f>+COUNTIFS('Seguimiento Julio 2024'!$C$12:$C$256,Tabla13[[#This Row],[PROVINCIA]],'Seguimiento Julio 2024'!$H$12:$H$256,'Seguimiento Julio 2024'!$H$20)</f>
        <v>0</v>
      </c>
      <c r="F26" s="49">
        <f>+COUNTIFS('Seguimiento Julio 2024'!$C$12:$C$256,Tabla13[[#This Row],[PROVINCIA]],'Seguimiento Julio 2024'!$H$12:$H$256,'Seguimiento Julio 2024'!$H$14)</f>
        <v>0</v>
      </c>
      <c r="G26" s="49">
        <f>+COUNTIFS('Seguimiento Julio 2024'!$C$12:$C$256,Tabla13[[#This Row],[PROVINCIA]],'Seguimiento Julio 2024'!$H$12:$H$256,'Seguimiento Julio 2024'!$H$31)</f>
        <v>0</v>
      </c>
      <c r="H26" s="49">
        <f>+COUNTIFS('Seguimiento Julio 2024'!$C$12:$C$256,Tabla13[[#This Row],[PROVINCIA]],'Seguimiento Julio 2024'!$H$12:$H$256,'Seguimiento Julio 2024'!$H$22)</f>
        <v>0</v>
      </c>
      <c r="I26" s="49">
        <f>SUM(Tabla13[[#This Row],[CAIPI DETENIDO POR PAGO TERRENO]:[CAIPI DETENIDO]])</f>
        <v>0</v>
      </c>
      <c r="J26" s="49">
        <f>+COUNTIFS('Seguimiento Julio 2024'!$C$12:$C$256,Tabla13[[#This Row],[PROVINCIA]],'Seguimiento Julio 2024'!$I$12:$I$256,'Seguimiento Julio 2024'!$I$24)</f>
        <v>0</v>
      </c>
      <c r="K26" s="49">
        <f>+COUNTIFS('Seguimiento Julio 2024'!$C$12:$C$256,Tabla13[[#This Row],[PROVINCIA]],'Seguimiento Julio 2024'!$I$12:$I$256,'Seguimiento Julio 2024'!$I$28)</f>
        <v>0</v>
      </c>
      <c r="L26" s="49">
        <f>COUNTIFS('Seguimiento Julio 2024'!$C$12:$C$256,'estado terrenos '!A24,'Seguimiento Julio 2024'!$H$12:$H$256,'Seguimiento Julio 2024'!$H$15)</f>
        <v>0</v>
      </c>
    </row>
    <row r="27" spans="1:12" x14ac:dyDescent="0.25">
      <c r="C27" s="45" t="s">
        <v>45</v>
      </c>
      <c r="D27" s="47">
        <f>+'estado terrenos '!B25</f>
        <v>1</v>
      </c>
      <c r="E27" s="48">
        <f>+COUNTIFS('Seguimiento Julio 2024'!$C$12:$C$256,Tabla13[[#This Row],[PROVINCIA]],'Seguimiento Julio 2024'!$H$12:$H$256,'Seguimiento Julio 2024'!$H$20)</f>
        <v>0</v>
      </c>
      <c r="F27" s="49">
        <f>+COUNTIFS('Seguimiento Julio 2024'!$C$12:$C$256,Tabla13[[#This Row],[PROVINCIA]],'Seguimiento Julio 2024'!$H$12:$H$256,'Seguimiento Julio 2024'!$H$14)</f>
        <v>1</v>
      </c>
      <c r="G27" s="49">
        <f>+COUNTIFS('Seguimiento Julio 2024'!$C$12:$C$256,Tabla13[[#This Row],[PROVINCIA]],'Seguimiento Julio 2024'!$H$12:$H$256,'Seguimiento Julio 2024'!$H$31)</f>
        <v>0</v>
      </c>
      <c r="H27" s="49">
        <f>+COUNTIFS('Seguimiento Julio 2024'!$C$12:$C$256,Tabla13[[#This Row],[PROVINCIA]],'Seguimiento Julio 2024'!$H$12:$H$256,'Seguimiento Julio 2024'!$H$22)</f>
        <v>1</v>
      </c>
      <c r="I27" s="49">
        <f>SUM(Tabla13[[#This Row],[CAIPI DETENIDO POR PAGO TERRENO]:[CAIPI DETENIDO]])</f>
        <v>2</v>
      </c>
      <c r="J27" s="49">
        <f>+COUNTIFS('Seguimiento Julio 2024'!$C$12:$C$256,Tabla13[[#This Row],[PROVINCIA]],'Seguimiento Julio 2024'!$I$12:$I$256,'Seguimiento Julio 2024'!$I$24)</f>
        <v>1</v>
      </c>
      <c r="K27" s="49">
        <f>+COUNTIFS('Seguimiento Julio 2024'!$C$12:$C$256,Tabla13[[#This Row],[PROVINCIA]],'Seguimiento Julio 2024'!$I$12:$I$256,'Seguimiento Julio 2024'!$I$28)</f>
        <v>0</v>
      </c>
      <c r="L27" s="49">
        <f>COUNTIFS('Seguimiento Julio 2024'!$C$12:$C$256,'estado terrenos '!A25,'Seguimiento Julio 2024'!$H$12:$H$256,'Seguimiento Julio 2024'!$H$15)</f>
        <v>0</v>
      </c>
    </row>
    <row r="28" spans="1:12" x14ac:dyDescent="0.25">
      <c r="C28" s="44" t="s">
        <v>46</v>
      </c>
      <c r="D28" s="47">
        <f>+'estado terrenos '!B26</f>
        <v>4</v>
      </c>
      <c r="E28" s="48">
        <f>+COUNTIFS('Seguimiento Julio 2024'!$C$12:$C$256,Tabla13[[#This Row],[PROVINCIA]],'Seguimiento Julio 2024'!$H$12:$H$256,'Seguimiento Julio 2024'!$H$20)</f>
        <v>1</v>
      </c>
      <c r="F28" s="49">
        <f>+COUNTIFS('Seguimiento Julio 2024'!$C$12:$C$256,Tabla13[[#This Row],[PROVINCIA]],'Seguimiento Julio 2024'!$H$12:$H$256,'Seguimiento Julio 2024'!$H$14)</f>
        <v>1</v>
      </c>
      <c r="G28" s="49">
        <f>+COUNTIFS('Seguimiento Julio 2024'!$C$12:$C$256,Tabla13[[#This Row],[PROVINCIA]],'Seguimiento Julio 2024'!$H$12:$H$256,'Seguimiento Julio 2024'!$H$31)</f>
        <v>2</v>
      </c>
      <c r="H28" s="49">
        <f>+COUNTIFS('Seguimiento Julio 2024'!$C$12:$C$256,Tabla13[[#This Row],[PROVINCIA]],'Seguimiento Julio 2024'!$H$12:$H$256,'Seguimiento Julio 2024'!$H$22)</f>
        <v>1</v>
      </c>
      <c r="I28" s="49">
        <f>SUM(Tabla13[[#This Row],[CAIPI DETENIDO POR PAGO TERRENO]:[CAIPI DETENIDO]])</f>
        <v>5</v>
      </c>
      <c r="J28" s="49">
        <f>+COUNTIFS('Seguimiento Julio 2024'!$C$12:$C$256,Tabla13[[#This Row],[PROVINCIA]],'Seguimiento Julio 2024'!$I$12:$I$256,'Seguimiento Julio 2024'!$I$24)</f>
        <v>4</v>
      </c>
      <c r="K28" s="49">
        <f>+COUNTIFS('Seguimiento Julio 2024'!$C$12:$C$256,Tabla13[[#This Row],[PROVINCIA]],'Seguimiento Julio 2024'!$I$12:$I$256,'Seguimiento Julio 2024'!$I$28)</f>
        <v>0</v>
      </c>
      <c r="L28" s="49">
        <f>COUNTIFS('Seguimiento Julio 2024'!$C$12:$C$256,'estado terrenos '!A26,'Seguimiento Julio 2024'!$H$12:$H$256,'Seguimiento Julio 2024'!$H$15)</f>
        <v>0</v>
      </c>
    </row>
    <row r="29" spans="1:12" x14ac:dyDescent="0.25">
      <c r="C29" s="44" t="s">
        <v>47</v>
      </c>
      <c r="D29" s="47">
        <f>+'estado terrenos '!B27</f>
        <v>7</v>
      </c>
      <c r="E29" s="48">
        <f>+COUNTIFS('Seguimiento Julio 2024'!$C$12:$C$256,Tabla13[[#This Row],[PROVINCIA]],'Seguimiento Julio 2024'!$H$12:$H$256,'Seguimiento Julio 2024'!$H$20)</f>
        <v>0</v>
      </c>
      <c r="F29" s="49">
        <f>+COUNTIFS('Seguimiento Julio 2024'!$C$12:$C$256,Tabla13[[#This Row],[PROVINCIA]],'Seguimiento Julio 2024'!$H$12:$H$256,'Seguimiento Julio 2024'!$H$14)</f>
        <v>2</v>
      </c>
      <c r="G29" s="49">
        <f>+COUNTIFS('Seguimiento Julio 2024'!$C$12:$C$256,Tabla13[[#This Row],[PROVINCIA]],'Seguimiento Julio 2024'!$H$12:$H$256,'Seguimiento Julio 2024'!$H$31)</f>
        <v>1</v>
      </c>
      <c r="H29" s="49">
        <f>+COUNTIFS('Seguimiento Julio 2024'!$C$12:$C$256,Tabla13[[#This Row],[PROVINCIA]],'Seguimiento Julio 2024'!$H$12:$H$256,'Seguimiento Julio 2024'!$H$22)</f>
        <v>2</v>
      </c>
      <c r="I29" s="49">
        <f>SUM(Tabla13[[#This Row],[CAIPI DETENIDO POR PAGO TERRENO]:[CAIPI DETENIDO]])</f>
        <v>5</v>
      </c>
      <c r="J29" s="49">
        <f>+COUNTIFS('Seguimiento Julio 2024'!$C$12:$C$256,Tabla13[[#This Row],[PROVINCIA]],'Seguimiento Julio 2024'!$I$12:$I$256,'Seguimiento Julio 2024'!$I$24)</f>
        <v>4</v>
      </c>
      <c r="K29" s="49">
        <f>+COUNTIFS('Seguimiento Julio 2024'!$C$12:$C$256,Tabla13[[#This Row],[PROVINCIA]],'Seguimiento Julio 2024'!$I$12:$I$256,'Seguimiento Julio 2024'!$I$28)</f>
        <v>1</v>
      </c>
      <c r="L29" s="49">
        <f>COUNTIFS('Seguimiento Julio 2024'!$C$12:$C$256,'estado terrenos '!A27,'Seguimiento Julio 2024'!$H$12:$H$256,'Seguimiento Julio 2024'!$H$15)</f>
        <v>0</v>
      </c>
    </row>
    <row r="30" spans="1:12" x14ac:dyDescent="0.25">
      <c r="C30" s="44" t="s">
        <v>48</v>
      </c>
      <c r="D30" s="47">
        <f>+'estado terrenos '!B28</f>
        <v>3</v>
      </c>
      <c r="E30" s="48">
        <f>+COUNTIFS('Seguimiento Julio 2024'!$C$12:$C$256,Tabla13[[#This Row],[PROVINCIA]],'Seguimiento Julio 2024'!$H$12:$H$256,'Seguimiento Julio 2024'!$H$20)</f>
        <v>0</v>
      </c>
      <c r="F30" s="49">
        <f>+COUNTIFS('Seguimiento Julio 2024'!$C$12:$C$256,Tabla13[[#This Row],[PROVINCIA]],'Seguimiento Julio 2024'!$H$12:$H$256,'Seguimiento Julio 2024'!$H$14)</f>
        <v>0</v>
      </c>
      <c r="G30" s="49">
        <f>+COUNTIFS('Seguimiento Julio 2024'!$C$12:$C$256,Tabla13[[#This Row],[PROVINCIA]],'Seguimiento Julio 2024'!$H$12:$H$256,'Seguimiento Julio 2024'!$H$31)</f>
        <v>0</v>
      </c>
      <c r="H30" s="49">
        <f>+COUNTIFS('Seguimiento Julio 2024'!$C$12:$C$256,Tabla13[[#This Row],[PROVINCIA]],'Seguimiento Julio 2024'!$H$12:$H$256,'Seguimiento Julio 2024'!$H$22)</f>
        <v>0</v>
      </c>
      <c r="I30" s="49">
        <f>SUM(Tabla13[[#This Row],[CAIPI DETENIDO POR PAGO TERRENO]:[CAIPI DETENIDO]])</f>
        <v>0</v>
      </c>
      <c r="J30" s="49">
        <f>+COUNTIFS('Seguimiento Julio 2024'!$C$12:$C$256,Tabla13[[#This Row],[PROVINCIA]],'Seguimiento Julio 2024'!$I$12:$I$256,'Seguimiento Julio 2024'!$I$24)</f>
        <v>0</v>
      </c>
      <c r="K30" s="49">
        <f>+COUNTIFS('Seguimiento Julio 2024'!$C$12:$C$256,Tabla13[[#This Row],[PROVINCIA]],'Seguimiento Julio 2024'!$I$12:$I$256,'Seguimiento Julio 2024'!$I$28)</f>
        <v>0</v>
      </c>
      <c r="L30" s="49">
        <f>COUNTIFS('Seguimiento Julio 2024'!$C$12:$C$256,'estado terrenos '!A28,'Seguimiento Julio 2024'!$H$12:$H$256,'Seguimiento Julio 2024'!$H$15)</f>
        <v>1</v>
      </c>
    </row>
    <row r="31" spans="1:12" x14ac:dyDescent="0.25">
      <c r="C31" s="44" t="s">
        <v>49</v>
      </c>
      <c r="D31" s="47">
        <f>+'estado terrenos '!B29</f>
        <v>13</v>
      </c>
      <c r="E31" s="48">
        <f>+COUNTIFS('Seguimiento Julio 2024'!$C$12:$C$256,Tabla13[[#This Row],[PROVINCIA]],'Seguimiento Julio 2024'!$H$12:$H$256,'Seguimiento Julio 2024'!$H$20)</f>
        <v>1</v>
      </c>
      <c r="F31" s="49">
        <f>+COUNTIFS('Seguimiento Julio 2024'!$C$12:$C$256,Tabla13[[#This Row],[PROVINCIA]],'Seguimiento Julio 2024'!$H$12:$H$256,'Seguimiento Julio 2024'!$H$14)</f>
        <v>3</v>
      </c>
      <c r="G31" s="49">
        <f>+COUNTIFS('Seguimiento Julio 2024'!$C$12:$C$256,Tabla13[[#This Row],[PROVINCIA]],'Seguimiento Julio 2024'!$H$12:$H$256,'Seguimiento Julio 2024'!$H$31)</f>
        <v>3</v>
      </c>
      <c r="H31" s="49">
        <f>+COUNTIFS('Seguimiento Julio 2024'!$C$12:$C$256,Tabla13[[#This Row],[PROVINCIA]],'Seguimiento Julio 2024'!$H$12:$H$256,'Seguimiento Julio 2024'!$H$22)</f>
        <v>3</v>
      </c>
      <c r="I31" s="49">
        <f>SUM(Tabla13[[#This Row],[CAIPI DETENIDO POR PAGO TERRENO]:[CAIPI DETENIDO]])</f>
        <v>10</v>
      </c>
      <c r="J31" s="49">
        <f>+COUNTIFS('Seguimiento Julio 2024'!$C$12:$C$256,Tabla13[[#This Row],[PROVINCIA]],'Seguimiento Julio 2024'!$I$12:$I$256,'Seguimiento Julio 2024'!$I$24)</f>
        <v>9</v>
      </c>
      <c r="K31" s="49">
        <f>+COUNTIFS('Seguimiento Julio 2024'!$C$12:$C$256,Tabla13[[#This Row],[PROVINCIA]],'Seguimiento Julio 2024'!$I$12:$I$256,'Seguimiento Julio 2024'!$I$28)</f>
        <v>0</v>
      </c>
      <c r="L31" s="49">
        <f>COUNTIFS('Seguimiento Julio 2024'!$C$12:$C$256,'estado terrenos '!A29,'Seguimiento Julio 2024'!$H$12:$H$256,'Seguimiento Julio 2024'!$H$15)</f>
        <v>1</v>
      </c>
    </row>
    <row r="32" spans="1:12" x14ac:dyDescent="0.25">
      <c r="C32" s="44" t="s">
        <v>50</v>
      </c>
      <c r="D32" s="47">
        <f>+'estado terrenos '!B30</f>
        <v>2</v>
      </c>
      <c r="E32" s="48">
        <f>+COUNTIFS('Seguimiento Julio 2024'!$C$12:$C$256,Tabla13[[#This Row],[PROVINCIA]],'Seguimiento Julio 2024'!$H$12:$H$256,'Seguimiento Julio 2024'!$H$20)</f>
        <v>0</v>
      </c>
      <c r="F32" s="49">
        <f>+COUNTIFS('Seguimiento Julio 2024'!$C$12:$C$256,Tabla13[[#This Row],[PROVINCIA]],'Seguimiento Julio 2024'!$H$12:$H$256,'Seguimiento Julio 2024'!$H$14)</f>
        <v>0</v>
      </c>
      <c r="G32" s="49">
        <f>+COUNTIFS('Seguimiento Julio 2024'!$C$12:$C$256,Tabla13[[#This Row],[PROVINCIA]],'Seguimiento Julio 2024'!$H$12:$H$256,'Seguimiento Julio 2024'!$H$31)</f>
        <v>0</v>
      </c>
      <c r="H32" s="49">
        <f>+COUNTIFS('Seguimiento Julio 2024'!$C$12:$C$256,Tabla13[[#This Row],[PROVINCIA]],'Seguimiento Julio 2024'!$H$12:$H$256,'Seguimiento Julio 2024'!$H$22)</f>
        <v>0</v>
      </c>
      <c r="I32" s="49">
        <f>SUM(Tabla13[[#This Row],[CAIPI DETENIDO POR PAGO TERRENO]:[CAIPI DETENIDO]])</f>
        <v>0</v>
      </c>
      <c r="J32" s="49">
        <f>+COUNTIFS('Seguimiento Julio 2024'!$C$12:$C$256,Tabla13[[#This Row],[PROVINCIA]],'Seguimiento Julio 2024'!$I$12:$I$256,'Seguimiento Julio 2024'!$I$24)</f>
        <v>0</v>
      </c>
      <c r="K32" s="49">
        <f>+COUNTIFS('Seguimiento Julio 2024'!$C$12:$C$256,Tabla13[[#This Row],[PROVINCIA]],'Seguimiento Julio 2024'!$I$12:$I$256,'Seguimiento Julio 2024'!$I$28)</f>
        <v>0</v>
      </c>
      <c r="L32" s="49">
        <f>COUNTIFS('Seguimiento Julio 2024'!$C$12:$C$256,'estado terrenos '!A30,'Seguimiento Julio 2024'!$H$12:$H$256,'Seguimiento Julio 2024'!$H$15)</f>
        <v>0</v>
      </c>
    </row>
    <row r="33" spans="3:12" x14ac:dyDescent="0.25">
      <c r="C33" s="44" t="s">
        <v>51</v>
      </c>
      <c r="D33" s="47">
        <f>+'estado terrenos '!B31</f>
        <v>6</v>
      </c>
      <c r="E33" s="48">
        <f>+COUNTIFS('Seguimiento Julio 2024'!$C$12:$C$256,Tabla13[[#This Row],[PROVINCIA]],'Seguimiento Julio 2024'!$H$12:$H$256,'Seguimiento Julio 2024'!$H$20)</f>
        <v>0</v>
      </c>
      <c r="F33" s="49">
        <f>+COUNTIFS('Seguimiento Julio 2024'!$C$12:$C$256,Tabla13[[#This Row],[PROVINCIA]],'Seguimiento Julio 2024'!$H$12:$H$256,'Seguimiento Julio 2024'!$H$14)</f>
        <v>4</v>
      </c>
      <c r="G33" s="49">
        <f>+COUNTIFS('Seguimiento Julio 2024'!$C$12:$C$256,Tabla13[[#This Row],[PROVINCIA]],'Seguimiento Julio 2024'!$H$12:$H$256,'Seguimiento Julio 2024'!$H$31)</f>
        <v>1</v>
      </c>
      <c r="H33" s="49">
        <f>+COUNTIFS('Seguimiento Julio 2024'!$C$12:$C$256,Tabla13[[#This Row],[PROVINCIA]],'Seguimiento Julio 2024'!$H$12:$H$256,'Seguimiento Julio 2024'!$H$22)</f>
        <v>4</v>
      </c>
      <c r="I33" s="49">
        <f>SUM(Tabla13[[#This Row],[CAIPI DETENIDO POR PAGO TERRENO]:[CAIPI DETENIDO]])</f>
        <v>9</v>
      </c>
      <c r="J33" s="49">
        <f>+COUNTIFS('Seguimiento Julio 2024'!$C$12:$C$256,Tabla13[[#This Row],[PROVINCIA]],'Seguimiento Julio 2024'!$I$12:$I$256,'Seguimiento Julio 2024'!$I$24)</f>
        <v>6</v>
      </c>
      <c r="K33" s="49">
        <f>+COUNTIFS('Seguimiento Julio 2024'!$C$12:$C$256,Tabla13[[#This Row],[PROVINCIA]],'Seguimiento Julio 2024'!$I$12:$I$256,'Seguimiento Julio 2024'!$I$28)</f>
        <v>0</v>
      </c>
      <c r="L33" s="49">
        <f>COUNTIFS('Seguimiento Julio 2024'!$C$12:$C$256,'estado terrenos '!A31,'Seguimiento Julio 2024'!$H$12:$H$256,'Seguimiento Julio 2024'!$H$15)</f>
        <v>0</v>
      </c>
    </row>
    <row r="34" spans="3:12" x14ac:dyDescent="0.25">
      <c r="C34" s="44" t="s">
        <v>52</v>
      </c>
      <c r="D34" s="47">
        <f>+'estado terrenos '!B32</f>
        <v>8</v>
      </c>
      <c r="E34" s="48">
        <f>+COUNTIFS('Seguimiento Julio 2024'!$C$12:$C$256,Tabla13[[#This Row],[PROVINCIA]],'Seguimiento Julio 2024'!$H$12:$H$256,'Seguimiento Julio 2024'!$H$20)</f>
        <v>3</v>
      </c>
      <c r="F34" s="49">
        <f>+COUNTIFS('Seguimiento Julio 2024'!$C$12:$C$256,Tabla13[[#This Row],[PROVINCIA]],'Seguimiento Julio 2024'!$H$12:$H$256,'Seguimiento Julio 2024'!$H$14)</f>
        <v>2</v>
      </c>
      <c r="G34" s="49">
        <f>+COUNTIFS('Seguimiento Julio 2024'!$C$12:$C$256,Tabla13[[#This Row],[PROVINCIA]],'Seguimiento Julio 2024'!$H$12:$H$256,'Seguimiento Julio 2024'!$H$31)</f>
        <v>2</v>
      </c>
      <c r="H34" s="49">
        <f>+COUNTIFS('Seguimiento Julio 2024'!$C$12:$C$256,Tabla13[[#This Row],[PROVINCIA]],'Seguimiento Julio 2024'!$H$12:$H$256,'Seguimiento Julio 2024'!$H$22)</f>
        <v>2</v>
      </c>
      <c r="I34" s="49">
        <f>SUM(Tabla13[[#This Row],[CAIPI DETENIDO POR PAGO TERRENO]:[CAIPI DETENIDO]])</f>
        <v>9</v>
      </c>
      <c r="J34" s="49">
        <f>+COUNTIFS('Seguimiento Julio 2024'!$C$12:$C$256,Tabla13[[#This Row],[PROVINCIA]],'Seguimiento Julio 2024'!$I$12:$I$256,'Seguimiento Julio 2024'!$I$24)</f>
        <v>7</v>
      </c>
      <c r="K34" s="49">
        <f>+COUNTIFS('Seguimiento Julio 2024'!$C$12:$C$256,Tabla13[[#This Row],[PROVINCIA]],'Seguimiento Julio 2024'!$I$12:$I$256,'Seguimiento Julio 2024'!$I$28)</f>
        <v>0</v>
      </c>
      <c r="L34" s="49">
        <f>COUNTIFS('Seguimiento Julio 2024'!$C$12:$C$256,'estado terrenos '!A32,'Seguimiento Julio 2024'!$H$12:$H$256,'Seguimiento Julio 2024'!$H$15)</f>
        <v>0</v>
      </c>
    </row>
    <row r="35" spans="3:12" x14ac:dyDescent="0.25">
      <c r="C35" s="44" t="s">
        <v>53</v>
      </c>
      <c r="D35" s="47">
        <f>+'estado terrenos '!B33</f>
        <v>3</v>
      </c>
      <c r="E35" s="48">
        <f>+COUNTIFS('Seguimiento Julio 2024'!$C$12:$C$256,Tabla13[[#This Row],[PROVINCIA]],'Seguimiento Julio 2024'!$H$12:$H$256,'Seguimiento Julio 2024'!$H$20)</f>
        <v>0</v>
      </c>
      <c r="F35" s="49">
        <f>+COUNTIFS('Seguimiento Julio 2024'!$C$12:$C$256,Tabla13[[#This Row],[PROVINCIA]],'Seguimiento Julio 2024'!$H$12:$H$256,'Seguimiento Julio 2024'!$H$14)</f>
        <v>0</v>
      </c>
      <c r="G35" s="49">
        <f>+COUNTIFS('Seguimiento Julio 2024'!$C$12:$C$256,Tabla13[[#This Row],[PROVINCIA]],'Seguimiento Julio 2024'!$H$12:$H$256,'Seguimiento Julio 2024'!$H$31)</f>
        <v>0</v>
      </c>
      <c r="H35" s="49">
        <f>+COUNTIFS('Seguimiento Julio 2024'!$C$12:$C$256,Tabla13[[#This Row],[PROVINCIA]],'Seguimiento Julio 2024'!$H$12:$H$256,'Seguimiento Julio 2024'!$H$22)</f>
        <v>0</v>
      </c>
      <c r="I35" s="49">
        <f>SUM(Tabla13[[#This Row],[CAIPI DETENIDO POR PAGO TERRENO]:[CAIPI DETENIDO]])</f>
        <v>0</v>
      </c>
      <c r="J35" s="49">
        <f>+COUNTIFS('Seguimiento Julio 2024'!$C$12:$C$256,Tabla13[[#This Row],[PROVINCIA]],'Seguimiento Julio 2024'!$I$12:$I$256,'Seguimiento Julio 2024'!$I$24)</f>
        <v>0</v>
      </c>
      <c r="K35" s="49">
        <f>+COUNTIFS('Seguimiento Julio 2024'!$C$12:$C$256,Tabla13[[#This Row],[PROVINCIA]],'Seguimiento Julio 2024'!$I$12:$I$256,'Seguimiento Julio 2024'!$I$28)</f>
        <v>0</v>
      </c>
      <c r="L35" s="49">
        <f>COUNTIFS('Seguimiento Julio 2024'!$C$12:$C$256,'estado terrenos '!A33,'Seguimiento Julio 2024'!$H$12:$H$256,'Seguimiento Julio 2024'!$H$15)</f>
        <v>1</v>
      </c>
    </row>
    <row r="36" spans="3:12" x14ac:dyDescent="0.25">
      <c r="C36" s="44" t="s">
        <v>54</v>
      </c>
      <c r="D36" s="47">
        <f>+'estado terrenos '!B34</f>
        <v>22</v>
      </c>
      <c r="E36" s="48">
        <f>+COUNTIFS('Seguimiento Julio 2024'!$C$12:$C$256,Tabla13[[#This Row],[PROVINCIA]],'Seguimiento Julio 2024'!$H$12:$H$256,'Seguimiento Julio 2024'!$H$20)</f>
        <v>5</v>
      </c>
      <c r="F36" s="49">
        <f>+COUNTIFS('Seguimiento Julio 2024'!$C$12:$C$256,Tabla13[[#This Row],[PROVINCIA]],'Seguimiento Julio 2024'!$H$12:$H$256,'Seguimiento Julio 2024'!$H$14)</f>
        <v>9</v>
      </c>
      <c r="G36" s="49">
        <f>+COUNTIFS('Seguimiento Julio 2024'!$C$12:$C$256,Tabla13[[#This Row],[PROVINCIA]],'Seguimiento Julio 2024'!$H$12:$H$256,'Seguimiento Julio 2024'!$H$31)</f>
        <v>4</v>
      </c>
      <c r="H36" s="49">
        <f>+COUNTIFS('Seguimiento Julio 2024'!$C$12:$C$256,Tabla13[[#This Row],[PROVINCIA]],'Seguimiento Julio 2024'!$H$12:$H$256,'Seguimiento Julio 2024'!$H$22)</f>
        <v>9</v>
      </c>
      <c r="I36" s="49">
        <f>SUM(Tabla13[[#This Row],[CAIPI DETENIDO POR PAGO TERRENO]:[CAIPI DETENIDO]])</f>
        <v>27</v>
      </c>
      <c r="J36" s="49">
        <f>+COUNTIFS('Seguimiento Julio 2024'!$C$12:$C$256,Tabla13[[#This Row],[PROVINCIA]],'Seguimiento Julio 2024'!$I$12:$I$256,'Seguimiento Julio 2024'!$I$24)</f>
        <v>20</v>
      </c>
      <c r="K36" s="49">
        <f>+COUNTIFS('Seguimiento Julio 2024'!$C$12:$C$256,Tabla13[[#This Row],[PROVINCIA]],'Seguimiento Julio 2024'!$I$12:$I$256,'Seguimiento Julio 2024'!$I$28)</f>
        <v>1</v>
      </c>
      <c r="L36" s="49">
        <f>COUNTIFS('Seguimiento Julio 2024'!$C$12:$C$256,'estado terrenos '!A34,'Seguimiento Julio 2024'!$H$12:$H$256,'Seguimiento Julio 2024'!$H$15)</f>
        <v>2</v>
      </c>
    </row>
    <row r="37" spans="3:12" x14ac:dyDescent="0.25">
      <c r="C37" s="44" t="s">
        <v>55</v>
      </c>
      <c r="D37" s="47">
        <f>+'estado terrenos '!B35</f>
        <v>3</v>
      </c>
      <c r="E37" s="48">
        <f>+COUNTIFS('Seguimiento Julio 2024'!$C$12:$C$256,Tabla13[[#This Row],[PROVINCIA]],'Seguimiento Julio 2024'!$H$12:$H$256,'Seguimiento Julio 2024'!$H$20)</f>
        <v>0</v>
      </c>
      <c r="F37" s="49">
        <f>+COUNTIFS('Seguimiento Julio 2024'!$C$12:$C$256,Tabla13[[#This Row],[PROVINCIA]],'Seguimiento Julio 2024'!$H$12:$H$256,'Seguimiento Julio 2024'!$H$14)</f>
        <v>0</v>
      </c>
      <c r="G37" s="49">
        <f>+COUNTIFS('Seguimiento Julio 2024'!$C$12:$C$256,Tabla13[[#This Row],[PROVINCIA]],'Seguimiento Julio 2024'!$H$12:$H$256,'Seguimiento Julio 2024'!$H$31)</f>
        <v>0</v>
      </c>
      <c r="H37" s="49">
        <f>+COUNTIFS('Seguimiento Julio 2024'!$C$12:$C$256,Tabla13[[#This Row],[PROVINCIA]],'Seguimiento Julio 2024'!$H$12:$H$256,'Seguimiento Julio 2024'!$H$22)</f>
        <v>0</v>
      </c>
      <c r="I37" s="49">
        <f>SUM(Tabla13[[#This Row],[CAIPI DETENIDO POR PAGO TERRENO]:[CAIPI DETENIDO]])</f>
        <v>0</v>
      </c>
      <c r="J37" s="49">
        <f>+COUNTIFS('Seguimiento Julio 2024'!$C$12:$C$256,Tabla13[[#This Row],[PROVINCIA]],'Seguimiento Julio 2024'!$I$12:$I$256,'Seguimiento Julio 2024'!$I$24)</f>
        <v>0</v>
      </c>
      <c r="K37" s="49">
        <f>+COUNTIFS('Seguimiento Julio 2024'!$C$12:$C$256,Tabla13[[#This Row],[PROVINCIA]],'Seguimiento Julio 2024'!$I$12:$I$256,'Seguimiento Julio 2024'!$I$28)</f>
        <v>0</v>
      </c>
      <c r="L37" s="49">
        <f>COUNTIFS('Seguimiento Julio 2024'!$C$12:$C$256,'estado terrenos '!A35,'Seguimiento Julio 2024'!$H$12:$H$256,'Seguimiento Julio 2024'!$H$15)</f>
        <v>0</v>
      </c>
    </row>
    <row r="38" spans="3:12" x14ac:dyDescent="0.25">
      <c r="C38" s="44" t="s">
        <v>56</v>
      </c>
      <c r="D38" s="47">
        <f>+'estado terrenos '!B36</f>
        <v>77</v>
      </c>
      <c r="E38" s="48">
        <f>+COUNTIFS('Seguimiento Julio 2024'!$C$12:$C$256,Tabla13[[#This Row],[PROVINCIA]],'Seguimiento Julio 2024'!$H$12:$H$256,'Seguimiento Julio 2024'!$H$20)</f>
        <v>14</v>
      </c>
      <c r="F38" s="49">
        <f>+COUNTIFS('Seguimiento Julio 2024'!$C$12:$C$256,Tabla13[[#This Row],[PROVINCIA]],'Seguimiento Julio 2024'!$H$12:$H$256,'Seguimiento Julio 2024'!$H$14)</f>
        <v>23</v>
      </c>
      <c r="G38" s="49">
        <f>+COUNTIFS('Seguimiento Julio 2024'!$C$12:$C$256,Tabla13[[#This Row],[PROVINCIA]],'Seguimiento Julio 2024'!$H$12:$H$256,'Seguimiento Julio 2024'!$H$31)</f>
        <v>15</v>
      </c>
      <c r="H38" s="49">
        <f>+COUNTIFS('Seguimiento Julio 2024'!$C$12:$C$256,Tabla13[[#This Row],[PROVINCIA]],'Seguimiento Julio 2024'!$H$12:$H$256,'Seguimiento Julio 2024'!$H$22)</f>
        <v>23</v>
      </c>
      <c r="I38" s="49">
        <f>SUM(Tabla13[[#This Row],[CAIPI DETENIDO POR PAGO TERRENO]:[CAIPI DETENIDO]])</f>
        <v>75</v>
      </c>
      <c r="J38" s="49">
        <f>+COUNTIFS('Seguimiento Julio 2024'!$C$12:$C$256,Tabla13[[#This Row],[PROVINCIA]],'Seguimiento Julio 2024'!$I$12:$I$256,'Seguimiento Julio 2024'!$I$24)</f>
        <v>62</v>
      </c>
      <c r="K38" s="49">
        <f>+COUNTIFS('Seguimiento Julio 2024'!$C$12:$C$256,Tabla13[[#This Row],[PROVINCIA]],'Seguimiento Julio 2024'!$I$12:$I$256,'Seguimiento Julio 2024'!$I$28)</f>
        <v>3</v>
      </c>
      <c r="L38" s="49">
        <f>COUNTIFS('Seguimiento Julio 2024'!$C$12:$C$256,'estado terrenos '!A36,'Seguimiento Julio 2024'!$H$12:$H$256,'Seguimiento Julio 2024'!$H$15)</f>
        <v>3</v>
      </c>
    </row>
    <row r="39" spans="3:12" x14ac:dyDescent="0.25">
      <c r="C39" s="44" t="s">
        <v>57</v>
      </c>
      <c r="D39" s="47">
        <f>+'estado terrenos '!B37</f>
        <v>5</v>
      </c>
      <c r="E39" s="48">
        <f>+COUNTIFS('Seguimiento Julio 2024'!$C$12:$C$256,Tabla13[[#This Row],[PROVINCIA]],'Seguimiento Julio 2024'!$H$12:$H$256,'Seguimiento Julio 2024'!$H$20)</f>
        <v>2</v>
      </c>
      <c r="F39" s="49">
        <f>+COUNTIFS('Seguimiento Julio 2024'!$C$12:$C$256,Tabla13[[#This Row],[PROVINCIA]],'Seguimiento Julio 2024'!$H$12:$H$256,'Seguimiento Julio 2024'!$H$14)</f>
        <v>2</v>
      </c>
      <c r="G39" s="49">
        <f>+COUNTIFS('Seguimiento Julio 2024'!$C$12:$C$256,Tabla13[[#This Row],[PROVINCIA]],'Seguimiento Julio 2024'!$H$12:$H$256,'Seguimiento Julio 2024'!$H$31)</f>
        <v>1</v>
      </c>
      <c r="H39" s="49">
        <f>+COUNTIFS('Seguimiento Julio 2024'!$C$12:$C$256,Tabla13[[#This Row],[PROVINCIA]],'Seguimiento Julio 2024'!$H$12:$H$256,'Seguimiento Julio 2024'!$H$22)</f>
        <v>2</v>
      </c>
      <c r="I39" s="49">
        <f>SUM(Tabla13[[#This Row],[CAIPI DETENIDO POR PAGO TERRENO]:[CAIPI DETENIDO]])</f>
        <v>7</v>
      </c>
      <c r="J39" s="49">
        <f>+COUNTIFS('Seguimiento Julio 2024'!$C$12:$C$256,Tabla13[[#This Row],[PROVINCIA]],'Seguimiento Julio 2024'!$I$12:$I$256,'Seguimiento Julio 2024'!$I$24)</f>
        <v>5</v>
      </c>
      <c r="K39" s="49">
        <f>+COUNTIFS('Seguimiento Julio 2024'!$C$12:$C$256,Tabla13[[#This Row],[PROVINCIA]],'Seguimiento Julio 2024'!$I$12:$I$256,'Seguimiento Julio 2024'!$I$28)</f>
        <v>0</v>
      </c>
      <c r="L39" s="49">
        <f>COUNTIFS('Seguimiento Julio 2024'!$C$12:$C$256,'estado terrenos '!A37,'Seguimiento Julio 2024'!$H$12:$H$256,'Seguimiento Julio 2024'!$H$15)</f>
        <v>0</v>
      </c>
    </row>
    <row r="40" spans="3:12" x14ac:dyDescent="0.25">
      <c r="C40" s="46" t="s">
        <v>58</v>
      </c>
      <c r="D40" s="47">
        <f>SUBTOTAL(109,Tabla13[CANTIDAD CAIPI SORTEADO])</f>
        <v>251</v>
      </c>
      <c r="E40" s="47">
        <f>SUBTOTAL(109,Tabla13[CAIPI DETENIDO POR PAGO TERRENO])</f>
        <v>39</v>
      </c>
      <c r="F40" s="50">
        <f>SUBTOTAL(109,Tabla13[CAIPI DETENIDO POR PAGO CUBICACION])</f>
        <v>80</v>
      </c>
      <c r="G40" s="50">
        <f>SUBTOTAL(109,Tabla13[CAIPI DETENIDO POR PLANO])</f>
        <v>43</v>
      </c>
      <c r="H40" s="50">
        <f>SUM(Tabla13[CAIPI DETENIDO])</f>
        <v>80</v>
      </c>
      <c r="I40" s="49">
        <f>SUBTOTAL(109,Tabla13[TOTAL DETENIDA])</f>
        <v>242</v>
      </c>
      <c r="J40" s="49">
        <f>SUBTOTAL(109,Tabla13[PROCESO DONACION])</f>
        <v>189</v>
      </c>
      <c r="K40" s="49">
        <f>SUBTOTAL(109,Tabla13[NEGOCIADO])</f>
        <v>11</v>
      </c>
      <c r="L40" s="49">
        <f>SUM(Tabla13[SIN INICIAR])</f>
        <v>14</v>
      </c>
    </row>
    <row r="45" spans="3:12" s="1" customFormat="1" x14ac:dyDescent="0.25">
      <c r="D45" s="38"/>
      <c r="F45" s="3"/>
      <c r="G45" s="8"/>
      <c r="H45" s="8"/>
      <c r="I45" s="3"/>
      <c r="J45" s="6"/>
      <c r="K45" s="6"/>
    </row>
    <row r="46" spans="3:12" s="1" customFormat="1" x14ac:dyDescent="0.25">
      <c r="D46" s="38"/>
      <c r="F46" s="3"/>
      <c r="G46" s="8"/>
      <c r="H46" s="8"/>
      <c r="I46" s="3"/>
      <c r="J46" s="6"/>
      <c r="K46" s="6"/>
    </row>
    <row r="47" spans="3:12" s="1" customFormat="1" x14ac:dyDescent="0.25">
      <c r="D47" s="38"/>
      <c r="F47" s="3"/>
      <c r="G47" s="8"/>
      <c r="H47" s="8"/>
      <c r="I47" s="3"/>
      <c r="J47" s="6"/>
      <c r="K47" s="6"/>
    </row>
  </sheetData>
  <mergeCells count="3">
    <mergeCell ref="E6:G6"/>
    <mergeCell ref="E3:H3"/>
    <mergeCell ref="D4:H4"/>
  </mergeCells>
  <pageMargins left="0.19685039370078741" right="0" top="0.74803149606299213" bottom="0.74803149606299213" header="0.31496062992125984" footer="0.31496062992125984"/>
  <pageSetup scale="65" fitToHeight="0" orientation="landscape" r:id="rId1"/>
  <headerFooter>
    <oddFooter>&amp;C&amp;F&amp;R&amp;P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2:G37"/>
  <sheetViews>
    <sheetView workbookViewId="0"/>
  </sheetViews>
  <sheetFormatPr baseColWidth="10" defaultColWidth="11.42578125" defaultRowHeight="15" x14ac:dyDescent="0.25"/>
  <cols>
    <col min="1" max="1" width="32.42578125" customWidth="1"/>
    <col min="2" max="2" width="14.85546875" customWidth="1"/>
    <col min="3" max="3" width="12.7109375" customWidth="1"/>
    <col min="4" max="4" width="16.85546875" style="1" customWidth="1"/>
    <col min="5" max="8" width="16.85546875" customWidth="1"/>
  </cols>
  <sheetData>
    <row r="2" spans="1:7" ht="15.75" x14ac:dyDescent="0.25">
      <c r="A2" s="381" t="s">
        <v>59</v>
      </c>
      <c r="B2" s="381"/>
      <c r="C2" s="381"/>
      <c r="D2" s="381"/>
    </row>
    <row r="3" spans="1:7" ht="15.75" thickBot="1" x14ac:dyDescent="0.3">
      <c r="A3" s="382" t="s">
        <v>733</v>
      </c>
      <c r="B3" s="382"/>
      <c r="C3" s="382"/>
      <c r="D3" s="382"/>
    </row>
    <row r="4" spans="1:7" ht="41.25" customHeight="1" thickBot="1" x14ac:dyDescent="0.3">
      <c r="A4" s="124" t="s">
        <v>16</v>
      </c>
      <c r="B4" s="160" t="s">
        <v>60</v>
      </c>
      <c r="C4" s="160" t="s">
        <v>61</v>
      </c>
      <c r="D4" s="160" t="s">
        <v>62</v>
      </c>
      <c r="G4" s="160" t="s">
        <v>63</v>
      </c>
    </row>
    <row r="5" spans="1:7" ht="18.75" x14ac:dyDescent="0.3">
      <c r="A5" s="161" t="s">
        <v>26</v>
      </c>
      <c r="B5" s="162" t="e">
        <f>+COUNTIFS(#REF!,'Resumen Servicio operando PI'!A5,#REF!,'Resumen Servicio operando PI'!$G$6)</f>
        <v>#REF!</v>
      </c>
      <c r="C5" s="162" t="e">
        <f>+COUNTIFS(#REF!,'Resumen Servicio operando PI'!A5,#REF!,'Resumen Servicio operando PI'!$G$5)</f>
        <v>#REF!</v>
      </c>
      <c r="D5" s="266" t="e">
        <f>+B5+C5</f>
        <v>#REF!</v>
      </c>
      <c r="G5" s="163" t="s">
        <v>64</v>
      </c>
    </row>
    <row r="6" spans="1:7" ht="18.75" x14ac:dyDescent="0.3">
      <c r="A6" s="164" t="s">
        <v>27</v>
      </c>
      <c r="B6" s="162" t="e">
        <f>+COUNTIFS(#REF!,'Resumen Servicio operando PI'!A6,#REF!,'Resumen Servicio operando PI'!$G$6)</f>
        <v>#REF!</v>
      </c>
      <c r="C6" s="162" t="e">
        <f>+COUNTIFS(#REF!,'Resumen Servicio operando PI'!A6,#REF!,'Resumen Servicio operando PI'!$G$5)</f>
        <v>#REF!</v>
      </c>
      <c r="D6" s="165" t="e">
        <f t="shared" ref="D6:D36" si="0">+B6+C6</f>
        <v>#REF!</v>
      </c>
      <c r="G6" s="163" t="s">
        <v>65</v>
      </c>
    </row>
    <row r="7" spans="1:7" ht="18.75" x14ac:dyDescent="0.3">
      <c r="A7" s="164" t="s">
        <v>28</v>
      </c>
      <c r="B7" s="162" t="e">
        <f>+COUNTIFS(#REF!,'Resumen Servicio operando PI'!A7,#REF!,'Resumen Servicio operando PI'!$G$6)</f>
        <v>#REF!</v>
      </c>
      <c r="C7" s="162" t="e">
        <f>+COUNTIFS(#REF!,'Resumen Servicio operando PI'!A7,#REF!,'Resumen Servicio operando PI'!$G$5)</f>
        <v>#REF!</v>
      </c>
      <c r="D7" s="165" t="e">
        <f t="shared" si="0"/>
        <v>#REF!</v>
      </c>
    </row>
    <row r="8" spans="1:7" ht="18.75" x14ac:dyDescent="0.3">
      <c r="A8" s="164" t="s">
        <v>29</v>
      </c>
      <c r="B8" s="162" t="e">
        <f>+COUNTIFS(#REF!,'Resumen Servicio operando PI'!A8,#REF!,'Resumen Servicio operando PI'!$G$6)</f>
        <v>#REF!</v>
      </c>
      <c r="C8" s="162" t="e">
        <f>+COUNTIFS(#REF!,'Resumen Servicio operando PI'!A8,#REF!,'Resumen Servicio operando PI'!$G$5)</f>
        <v>#REF!</v>
      </c>
      <c r="D8" s="165" t="e">
        <f t="shared" si="0"/>
        <v>#REF!</v>
      </c>
    </row>
    <row r="9" spans="1:7" ht="18.75" x14ac:dyDescent="0.3">
      <c r="A9" s="164" t="s">
        <v>30</v>
      </c>
      <c r="B9" s="162" t="e">
        <f>+COUNTIFS(#REF!,'Resumen Servicio operando PI'!A9,#REF!,'Resumen Servicio operando PI'!$G$6)</f>
        <v>#REF!</v>
      </c>
      <c r="C9" s="162" t="e">
        <f>+COUNTIFS(#REF!,'Resumen Servicio operando PI'!A9,#REF!,'Resumen Servicio operando PI'!$G$5)</f>
        <v>#REF!</v>
      </c>
      <c r="D9" s="165" t="e">
        <f t="shared" si="0"/>
        <v>#REF!</v>
      </c>
    </row>
    <row r="10" spans="1:7" ht="18.75" x14ac:dyDescent="0.3">
      <c r="A10" s="164" t="s">
        <v>31</v>
      </c>
      <c r="B10" s="162" t="e">
        <f>+COUNTIFS(#REF!,'Resumen Servicio operando PI'!A10,#REF!,'Resumen Servicio operando PI'!$G$6)</f>
        <v>#REF!</v>
      </c>
      <c r="C10" s="162" t="e">
        <f>+COUNTIFS(#REF!,'Resumen Servicio operando PI'!A10,#REF!,'Resumen Servicio operando PI'!$G$5)</f>
        <v>#REF!</v>
      </c>
      <c r="D10" s="165" t="e">
        <f t="shared" si="0"/>
        <v>#REF!</v>
      </c>
    </row>
    <row r="11" spans="1:7" ht="18.75" x14ac:dyDescent="0.3">
      <c r="A11" s="164" t="s">
        <v>32</v>
      </c>
      <c r="B11" s="162" t="e">
        <f>+COUNTIFS(#REF!,'Resumen Servicio operando PI'!A11,#REF!,'Resumen Servicio operando PI'!$G$6)</f>
        <v>#REF!</v>
      </c>
      <c r="C11" s="162" t="e">
        <f>+COUNTIFS(#REF!,'Resumen Servicio operando PI'!A11,#REF!,'Resumen Servicio operando PI'!$G$5)</f>
        <v>#REF!</v>
      </c>
      <c r="D11" s="165" t="e">
        <f t="shared" si="0"/>
        <v>#REF!</v>
      </c>
    </row>
    <row r="12" spans="1:7" ht="18.75" x14ac:dyDescent="0.3">
      <c r="A12" s="164" t="s">
        <v>66</v>
      </c>
      <c r="B12" s="162" t="e">
        <f>+COUNTIFS(#REF!,'Resumen Servicio operando PI'!A12,#REF!,'Resumen Servicio operando PI'!$G$6)</f>
        <v>#REF!</v>
      </c>
      <c r="C12" s="162" t="e">
        <f>+COUNTIFS(#REF!,'Resumen Servicio operando PI'!A12,#REF!,'Resumen Servicio operando PI'!$G$5)</f>
        <v>#REF!</v>
      </c>
      <c r="D12" s="165" t="e">
        <f t="shared" si="0"/>
        <v>#REF!</v>
      </c>
    </row>
    <row r="13" spans="1:7" ht="18.75" x14ac:dyDescent="0.3">
      <c r="A13" s="164" t="s">
        <v>34</v>
      </c>
      <c r="B13" s="162" t="e">
        <f>+COUNTIFS(#REF!,'Resumen Servicio operando PI'!A13,#REF!,'Resumen Servicio operando PI'!$G$6)</f>
        <v>#REF!</v>
      </c>
      <c r="C13" s="162" t="e">
        <f>+COUNTIFS(#REF!,'Resumen Servicio operando PI'!A13,#REF!,'Resumen Servicio operando PI'!$G$5)</f>
        <v>#REF!</v>
      </c>
      <c r="D13" s="165" t="e">
        <f t="shared" si="0"/>
        <v>#REF!</v>
      </c>
    </row>
    <row r="14" spans="1:7" ht="18.75" x14ac:dyDescent="0.3">
      <c r="A14" s="164" t="s">
        <v>35</v>
      </c>
      <c r="B14" s="162" t="e">
        <f>+COUNTIFS(#REF!,'Resumen Servicio operando PI'!A14,#REF!,'Resumen Servicio operando PI'!$G$6)</f>
        <v>#REF!</v>
      </c>
      <c r="C14" s="162" t="e">
        <f>+COUNTIFS(#REF!,'Resumen Servicio operando PI'!A14,#REF!,'Resumen Servicio operando PI'!$G$5)</f>
        <v>#REF!</v>
      </c>
      <c r="D14" s="165" t="e">
        <f t="shared" si="0"/>
        <v>#REF!</v>
      </c>
    </row>
    <row r="15" spans="1:7" ht="18.75" x14ac:dyDescent="0.3">
      <c r="A15" s="164" t="s">
        <v>36</v>
      </c>
      <c r="B15" s="162" t="e">
        <f>+COUNTIFS(#REF!,'Resumen Servicio operando PI'!A15,#REF!,'Resumen Servicio operando PI'!$G$6)</f>
        <v>#REF!</v>
      </c>
      <c r="C15" s="162" t="e">
        <f>+COUNTIFS(#REF!,'Resumen Servicio operando PI'!A15,#REF!,'Resumen Servicio operando PI'!$G$5)</f>
        <v>#REF!</v>
      </c>
      <c r="D15" s="165" t="e">
        <f t="shared" si="0"/>
        <v>#REF!</v>
      </c>
    </row>
    <row r="16" spans="1:7" ht="18.75" x14ac:dyDescent="0.3">
      <c r="A16" s="164" t="s">
        <v>67</v>
      </c>
      <c r="B16" s="162" t="e">
        <f>+COUNTIFS(#REF!,'Resumen Servicio operando PI'!A16,#REF!,'Resumen Servicio operando PI'!$G$6)</f>
        <v>#REF!</v>
      </c>
      <c r="C16" s="162" t="e">
        <f>+COUNTIFS(#REF!,'Resumen Servicio operando PI'!A16,#REF!,'Resumen Servicio operando PI'!$G$5)</f>
        <v>#REF!</v>
      </c>
      <c r="D16" s="165" t="e">
        <f t="shared" si="0"/>
        <v>#REF!</v>
      </c>
    </row>
    <row r="17" spans="1:4" ht="18.75" x14ac:dyDescent="0.3">
      <c r="A17" s="164" t="s">
        <v>38</v>
      </c>
      <c r="B17" s="162" t="e">
        <f>+COUNTIFS(#REF!,'Resumen Servicio operando PI'!A17,#REF!,'Resumen Servicio operando PI'!$G$6)</f>
        <v>#REF!</v>
      </c>
      <c r="C17" s="162" t="e">
        <f>+COUNTIFS(#REF!,'Resumen Servicio operando PI'!A17,#REF!,'Resumen Servicio operando PI'!$G$5)</f>
        <v>#REF!</v>
      </c>
      <c r="D17" s="165" t="e">
        <f t="shared" si="0"/>
        <v>#REF!</v>
      </c>
    </row>
    <row r="18" spans="1:4" ht="18.75" x14ac:dyDescent="0.3">
      <c r="A18" s="164" t="s">
        <v>39</v>
      </c>
      <c r="B18" s="162" t="e">
        <f>+COUNTIFS(#REF!,'Resumen Servicio operando PI'!A18,#REF!,'Resumen Servicio operando PI'!$G$6)</f>
        <v>#REF!</v>
      </c>
      <c r="C18" s="162" t="e">
        <f>+COUNTIFS(#REF!,'Resumen Servicio operando PI'!A18,#REF!,'Resumen Servicio operando PI'!$G$5)</f>
        <v>#REF!</v>
      </c>
      <c r="D18" s="165" t="e">
        <f t="shared" si="0"/>
        <v>#REF!</v>
      </c>
    </row>
    <row r="19" spans="1:4" ht="18.75" x14ac:dyDescent="0.3">
      <c r="A19" s="164" t="s">
        <v>40</v>
      </c>
      <c r="B19" s="162" t="e">
        <f>+COUNTIFS(#REF!,'Resumen Servicio operando PI'!A19,#REF!,'Resumen Servicio operando PI'!$G$6)</f>
        <v>#REF!</v>
      </c>
      <c r="C19" s="162" t="e">
        <f>+COUNTIFS(#REF!,'Resumen Servicio operando PI'!A19,#REF!,'Resumen Servicio operando PI'!$G$5)</f>
        <v>#REF!</v>
      </c>
      <c r="D19" s="165" t="e">
        <f t="shared" si="0"/>
        <v>#REF!</v>
      </c>
    </row>
    <row r="20" spans="1:4" ht="18.75" x14ac:dyDescent="0.3">
      <c r="A20" s="164" t="s">
        <v>68</v>
      </c>
      <c r="B20" s="162" t="e">
        <f>+COUNTIFS(#REF!,'Resumen Servicio operando PI'!A20,#REF!,'Resumen Servicio operando PI'!$G$6)</f>
        <v>#REF!</v>
      </c>
      <c r="C20" s="162" t="e">
        <f>+COUNTIFS(#REF!,'Resumen Servicio operando PI'!A20,#REF!,'Resumen Servicio operando PI'!$G$5)</f>
        <v>#REF!</v>
      </c>
      <c r="D20" s="165" t="e">
        <f t="shared" si="0"/>
        <v>#REF!</v>
      </c>
    </row>
    <row r="21" spans="1:4" ht="18.75" x14ac:dyDescent="0.3">
      <c r="A21" s="164" t="s">
        <v>42</v>
      </c>
      <c r="B21" s="162" t="e">
        <f>+COUNTIFS(#REF!,'Resumen Servicio operando PI'!A21,#REF!,'Resumen Servicio operando PI'!$G$6)</f>
        <v>#REF!</v>
      </c>
      <c r="C21" s="162" t="e">
        <f>+COUNTIFS(#REF!,'Resumen Servicio operando PI'!A21,#REF!,'Resumen Servicio operando PI'!$G$5)</f>
        <v>#REF!</v>
      </c>
      <c r="D21" s="165" t="e">
        <f t="shared" si="0"/>
        <v>#REF!</v>
      </c>
    </row>
    <row r="22" spans="1:4" ht="18.75" x14ac:dyDescent="0.3">
      <c r="A22" s="164" t="s">
        <v>43</v>
      </c>
      <c r="B22" s="162" t="e">
        <f>+COUNTIFS(#REF!,'Resumen Servicio operando PI'!A22,#REF!,'Resumen Servicio operando PI'!$G$6)</f>
        <v>#REF!</v>
      </c>
      <c r="C22" s="162" t="e">
        <f>+COUNTIFS(#REF!,'Resumen Servicio operando PI'!A22,#REF!,'Resumen Servicio operando PI'!$G$5)</f>
        <v>#REF!</v>
      </c>
      <c r="D22" s="165" t="e">
        <f t="shared" si="0"/>
        <v>#REF!</v>
      </c>
    </row>
    <row r="23" spans="1:4" ht="18.75" x14ac:dyDescent="0.3">
      <c r="A23" s="164" t="s">
        <v>44</v>
      </c>
      <c r="B23" s="162" t="e">
        <f>+COUNTIFS(#REF!,'Resumen Servicio operando PI'!A23,#REF!,'Resumen Servicio operando PI'!$G$6)</f>
        <v>#REF!</v>
      </c>
      <c r="C23" s="162" t="e">
        <f>+COUNTIFS(#REF!,'Resumen Servicio operando PI'!A23,#REF!,'Resumen Servicio operando PI'!$G$5)</f>
        <v>#REF!</v>
      </c>
      <c r="D23" s="165" t="e">
        <f t="shared" si="0"/>
        <v>#REF!</v>
      </c>
    </row>
    <row r="24" spans="1:4" ht="18.75" x14ac:dyDescent="0.3">
      <c r="A24" s="164" t="s">
        <v>45</v>
      </c>
      <c r="B24" s="162" t="e">
        <f>+COUNTIFS(#REF!,'Resumen Servicio operando PI'!A24,#REF!,'Resumen Servicio operando PI'!$G$6)</f>
        <v>#REF!</v>
      </c>
      <c r="C24" s="162" t="e">
        <f>+COUNTIFS(#REF!,'Resumen Servicio operando PI'!A24,#REF!,'Resumen Servicio operando PI'!$G$5)</f>
        <v>#REF!</v>
      </c>
      <c r="D24" s="165" t="e">
        <f t="shared" si="0"/>
        <v>#REF!</v>
      </c>
    </row>
    <row r="25" spans="1:4" ht="18.75" x14ac:dyDescent="0.3">
      <c r="A25" s="164" t="s">
        <v>46</v>
      </c>
      <c r="B25" s="162" t="e">
        <f>+COUNTIFS(#REF!,'Resumen Servicio operando PI'!A25,#REF!,'Resumen Servicio operando PI'!$G$6)</f>
        <v>#REF!</v>
      </c>
      <c r="C25" s="162" t="e">
        <f>+COUNTIFS(#REF!,'Resumen Servicio operando PI'!A25,#REF!,'Resumen Servicio operando PI'!$G$5)</f>
        <v>#REF!</v>
      </c>
      <c r="D25" s="165" t="e">
        <f t="shared" si="0"/>
        <v>#REF!</v>
      </c>
    </row>
    <row r="26" spans="1:4" ht="18.75" x14ac:dyDescent="0.3">
      <c r="A26" s="164" t="s">
        <v>47</v>
      </c>
      <c r="B26" s="162" t="e">
        <f>+COUNTIFS(#REF!,'Resumen Servicio operando PI'!A26,#REF!,'Resumen Servicio operando PI'!$G$6)</f>
        <v>#REF!</v>
      </c>
      <c r="C26" s="162" t="e">
        <f>+COUNTIFS(#REF!,'Resumen Servicio operando PI'!A26,#REF!,'Resumen Servicio operando PI'!$G$5)</f>
        <v>#REF!</v>
      </c>
      <c r="D26" s="165" t="e">
        <f t="shared" si="0"/>
        <v>#REF!</v>
      </c>
    </row>
    <row r="27" spans="1:4" ht="18.75" x14ac:dyDescent="0.3">
      <c r="A27" s="164" t="s">
        <v>69</v>
      </c>
      <c r="B27" s="162" t="e">
        <f>+COUNTIFS(#REF!,'Resumen Servicio operando PI'!A27,#REF!,'Resumen Servicio operando PI'!$G$6)</f>
        <v>#REF!</v>
      </c>
      <c r="C27" s="162" t="e">
        <f>+COUNTIFS(#REF!,'Resumen Servicio operando PI'!A27,#REF!,'Resumen Servicio operando PI'!$G$5)</f>
        <v>#REF!</v>
      </c>
      <c r="D27" s="165" t="e">
        <f t="shared" si="0"/>
        <v>#REF!</v>
      </c>
    </row>
    <row r="28" spans="1:4" ht="18.75" x14ac:dyDescent="0.3">
      <c r="A28" s="164" t="s">
        <v>49</v>
      </c>
      <c r="B28" s="162" t="e">
        <f>+COUNTIFS(#REF!,'Resumen Servicio operando PI'!A28,#REF!,'Resumen Servicio operando PI'!$G$6)</f>
        <v>#REF!</v>
      </c>
      <c r="C28" s="162" t="e">
        <f>+COUNTIFS(#REF!,'Resumen Servicio operando PI'!A28,#REF!,'Resumen Servicio operando PI'!$G$5)</f>
        <v>#REF!</v>
      </c>
      <c r="D28" s="165" t="e">
        <f t="shared" si="0"/>
        <v>#REF!</v>
      </c>
    </row>
    <row r="29" spans="1:4" ht="18.75" x14ac:dyDescent="0.3">
      <c r="A29" s="164" t="s">
        <v>70</v>
      </c>
      <c r="B29" s="162" t="e">
        <f>+COUNTIFS(#REF!,'Resumen Servicio operando PI'!A29,#REF!,'Resumen Servicio operando PI'!$G$6)</f>
        <v>#REF!</v>
      </c>
      <c r="C29" s="162" t="e">
        <f>+COUNTIFS(#REF!,'Resumen Servicio operando PI'!A29,#REF!,'Resumen Servicio operando PI'!$G$5)</f>
        <v>#REF!</v>
      </c>
      <c r="D29" s="165" t="e">
        <f t="shared" si="0"/>
        <v>#REF!</v>
      </c>
    </row>
    <row r="30" spans="1:4" ht="18.75" x14ac:dyDescent="0.3">
      <c r="A30" s="164" t="s">
        <v>731</v>
      </c>
      <c r="B30" s="162" t="e">
        <f>+COUNTIFS(#REF!,'Resumen Servicio operando PI'!A30,#REF!,'Resumen Servicio operando PI'!$G$6)</f>
        <v>#REF!</v>
      </c>
      <c r="C30" s="162" t="e">
        <f>+COUNTIFS(#REF!,'Resumen Servicio operando PI'!A30,#REF!,'Resumen Servicio operando PI'!$G$5)</f>
        <v>#REF!</v>
      </c>
      <c r="D30" s="165" t="e">
        <f t="shared" si="0"/>
        <v>#REF!</v>
      </c>
    </row>
    <row r="31" spans="1:4" ht="18.75" x14ac:dyDescent="0.3">
      <c r="A31" s="164" t="s">
        <v>52</v>
      </c>
      <c r="B31" s="162" t="e">
        <f>+COUNTIFS(#REF!,'Resumen Servicio operando PI'!A31,#REF!,'Resumen Servicio operando PI'!$G$6)</f>
        <v>#REF!</v>
      </c>
      <c r="C31" s="162" t="e">
        <f>+COUNTIFS(#REF!,'Resumen Servicio operando PI'!A31,#REF!,'Resumen Servicio operando PI'!$G$5)</f>
        <v>#REF!</v>
      </c>
      <c r="D31" s="165" t="e">
        <f t="shared" si="0"/>
        <v>#REF!</v>
      </c>
    </row>
    <row r="32" spans="1:4" ht="18.75" x14ac:dyDescent="0.3">
      <c r="A32" s="164" t="s">
        <v>71</v>
      </c>
      <c r="B32" s="162" t="e">
        <f>+COUNTIFS(#REF!,'Resumen Servicio operando PI'!A32,#REF!,'Resumen Servicio operando PI'!$G$6)</f>
        <v>#REF!</v>
      </c>
      <c r="C32" s="162" t="e">
        <f>+COUNTIFS(#REF!,'Resumen Servicio operando PI'!A32,#REF!,'Resumen Servicio operando PI'!$G$5)</f>
        <v>#REF!</v>
      </c>
      <c r="D32" s="165" t="e">
        <f t="shared" si="0"/>
        <v>#REF!</v>
      </c>
    </row>
    <row r="33" spans="1:4" ht="18.75" x14ac:dyDescent="0.3">
      <c r="A33" s="164" t="s">
        <v>72</v>
      </c>
      <c r="B33" s="162" t="e">
        <f>+COUNTIFS(#REF!,'Resumen Servicio operando PI'!A33,#REF!,'Resumen Servicio operando PI'!$G$6)</f>
        <v>#REF!</v>
      </c>
      <c r="C33" s="162" t="e">
        <f>+COUNTIFS(#REF!,'Resumen Servicio operando PI'!A33,#REF!,'Resumen Servicio operando PI'!$G$5)</f>
        <v>#REF!</v>
      </c>
      <c r="D33" s="165" t="e">
        <f t="shared" si="0"/>
        <v>#REF!</v>
      </c>
    </row>
    <row r="34" spans="1:4" ht="18.75" x14ac:dyDescent="0.3">
      <c r="A34" s="164" t="s">
        <v>73</v>
      </c>
      <c r="B34" s="162" t="e">
        <f>+COUNTIFS(#REF!,'Resumen Servicio operando PI'!A34,#REF!,'Resumen Servicio operando PI'!$G$6)</f>
        <v>#REF!</v>
      </c>
      <c r="C34" s="162" t="e">
        <f>+COUNTIFS(#REF!,'Resumen Servicio operando PI'!A34,#REF!,'Resumen Servicio operando PI'!$G$5)</f>
        <v>#REF!</v>
      </c>
      <c r="D34" s="165" t="e">
        <f t="shared" si="0"/>
        <v>#REF!</v>
      </c>
    </row>
    <row r="35" spans="1:4" ht="18.75" x14ac:dyDescent="0.3">
      <c r="A35" s="164" t="s">
        <v>56</v>
      </c>
      <c r="B35" s="162" t="e">
        <f>+COUNTIFS(#REF!,'Resumen Servicio operando PI'!A35,#REF!,'Resumen Servicio operando PI'!$G$6)</f>
        <v>#REF!</v>
      </c>
      <c r="C35" s="162" t="e">
        <f>+COUNTIFS(#REF!,'Resumen Servicio operando PI'!A35,#REF!,'Resumen Servicio operando PI'!$G$5)</f>
        <v>#REF!</v>
      </c>
      <c r="D35" s="165" t="e">
        <f t="shared" si="0"/>
        <v>#REF!</v>
      </c>
    </row>
    <row r="36" spans="1:4" ht="19.5" thickBot="1" x14ac:dyDescent="0.35">
      <c r="A36" s="166" t="s">
        <v>57</v>
      </c>
      <c r="B36" s="162" t="e">
        <f>+COUNTIFS(#REF!,'Resumen Servicio operando PI'!A36,#REF!,'Resumen Servicio operando PI'!$G$6)</f>
        <v>#REF!</v>
      </c>
      <c r="C36" s="162" t="e">
        <f>+COUNTIFS(#REF!,'Resumen Servicio operando PI'!A36,#REF!,'Resumen Servicio operando PI'!$G$5)</f>
        <v>#REF!</v>
      </c>
      <c r="D36" s="167" t="e">
        <f t="shared" si="0"/>
        <v>#REF!</v>
      </c>
    </row>
    <row r="37" spans="1:4" ht="20.25" thickTop="1" thickBot="1" x14ac:dyDescent="0.35">
      <c r="A37" s="168" t="s">
        <v>58</v>
      </c>
      <c r="B37" s="169" t="e">
        <f>SUM(B5:B36)</f>
        <v>#REF!</v>
      </c>
      <c r="C37" s="169" t="e">
        <f>SUM(C5:C36)</f>
        <v>#REF!</v>
      </c>
      <c r="D37" s="169" t="e">
        <f>SUM(D5:D36)</f>
        <v>#REF!</v>
      </c>
    </row>
  </sheetData>
  <mergeCells count="2">
    <mergeCell ref="A2:D2"/>
    <mergeCell ref="A3:D3"/>
  </mergeCells>
  <pageMargins left="0.70866141732283472" right="0.70866141732283472" top="0.35433070866141736" bottom="0.35433070866141736"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5" tint="0.39997558519241921"/>
  </sheetPr>
  <dimension ref="A1:AJ43"/>
  <sheetViews>
    <sheetView zoomScale="90" zoomScaleNormal="90" workbookViewId="0">
      <pane ySplit="5" topLeftCell="A6" activePane="bottomLeft" state="frozen"/>
      <selection pane="bottomLeft" activeCell="D3" sqref="D3:I3"/>
    </sheetView>
  </sheetViews>
  <sheetFormatPr baseColWidth="10" defaultColWidth="11.42578125" defaultRowHeight="15" outlineLevelCol="1" x14ac:dyDescent="0.25"/>
  <cols>
    <col min="1" max="1" width="31.42578125" customWidth="1"/>
    <col min="2" max="2" width="11.5703125" customWidth="1"/>
    <col min="3" max="3" width="12.7109375" customWidth="1"/>
    <col min="4" max="4" width="11.7109375" customWidth="1"/>
    <col min="5" max="5" width="16.42578125" customWidth="1"/>
    <col min="6" max="6" width="11.42578125" customWidth="1"/>
    <col min="7" max="7" width="13.28515625" customWidth="1"/>
    <col min="8" max="8" width="11.42578125" customWidth="1"/>
    <col min="9" max="9" width="13.28515625" customWidth="1"/>
    <col min="10" max="10" width="14.140625" customWidth="1"/>
    <col min="11" max="11" width="7.5703125" customWidth="1"/>
    <col min="12" max="12" width="10.28515625" customWidth="1"/>
    <col min="13" max="13" width="11.7109375" customWidth="1"/>
    <col min="14" max="14" width="10" customWidth="1"/>
    <col min="15" max="15" width="12.42578125" customWidth="1"/>
    <col min="16" max="16" width="10" customWidth="1"/>
    <col min="17" max="17" width="12.85546875" hidden="1" customWidth="1" outlineLevel="1"/>
    <col min="18" max="18" width="10.5703125" style="1" hidden="1" customWidth="1" outlineLevel="1"/>
    <col min="19" max="19" width="8.140625" style="1" hidden="1" customWidth="1" outlineLevel="1"/>
    <col min="20" max="21" width="6.140625" style="1" hidden="1" customWidth="1" outlineLevel="1"/>
    <col min="22" max="22" width="11.42578125" style="1" hidden="1" customWidth="1" outlineLevel="1"/>
    <col min="23" max="24" width="11.5703125" hidden="1" customWidth="1" outlineLevel="1"/>
    <col min="25" max="25" width="11.5703125" hidden="1" customWidth="1" outlineLevel="1" collapsed="1"/>
    <col min="26" max="26" width="14" hidden="1" customWidth="1" outlineLevel="1"/>
    <col min="27" max="28" width="14.42578125" hidden="1" customWidth="1" outlineLevel="1"/>
    <col min="29" max="31" width="11.5703125" hidden="1" customWidth="1" outlineLevel="1"/>
    <col min="32" max="32" width="10.7109375" hidden="1" customWidth="1" outlineLevel="1"/>
    <col min="33" max="33" width="11.5703125" hidden="1" customWidth="1" outlineLevel="1"/>
    <col min="34" max="34" width="11.42578125" customWidth="1" collapsed="1"/>
    <col min="35" max="36" width="11.42578125" customWidth="1"/>
  </cols>
  <sheetData>
    <row r="1" spans="1:36" s="51" customFormat="1" ht="31.5" customHeight="1" x14ac:dyDescent="0.35">
      <c r="A1" s="42"/>
      <c r="B1" s="385" t="s">
        <v>77</v>
      </c>
      <c r="C1" s="385"/>
      <c r="D1" s="385"/>
      <c r="E1" s="385"/>
      <c r="F1" s="385"/>
      <c r="G1" s="385"/>
      <c r="H1" s="385"/>
      <c r="I1" s="385"/>
      <c r="J1" s="385"/>
      <c r="K1" s="385"/>
      <c r="L1" s="42"/>
      <c r="M1" s="42"/>
      <c r="N1" s="42"/>
      <c r="O1" s="42"/>
      <c r="R1" s="52"/>
      <c r="S1" s="52"/>
      <c r="T1" s="52"/>
      <c r="U1" s="52"/>
      <c r="V1" s="52"/>
    </row>
    <row r="2" spans="1:36" ht="4.5" customHeight="1" x14ac:dyDescent="0.25">
      <c r="A2" s="34"/>
      <c r="B2" s="34"/>
      <c r="C2" s="34"/>
      <c r="D2" s="34"/>
      <c r="E2" s="35"/>
      <c r="F2" s="35"/>
      <c r="G2" s="35"/>
      <c r="H2" s="34"/>
      <c r="I2" s="34"/>
      <c r="J2" s="34"/>
      <c r="K2" s="34"/>
      <c r="L2" s="34"/>
      <c r="M2" s="34"/>
      <c r="N2" s="34"/>
      <c r="O2" s="34"/>
    </row>
    <row r="3" spans="1:36" ht="29.25" customHeight="1" thickBot="1" x14ac:dyDescent="0.35">
      <c r="A3" s="36"/>
      <c r="C3" s="94"/>
      <c r="D3" s="387" t="s">
        <v>740</v>
      </c>
      <c r="E3" s="387"/>
      <c r="F3" s="387"/>
      <c r="G3" s="387"/>
      <c r="H3" s="387"/>
      <c r="I3" s="387"/>
      <c r="J3" s="94"/>
      <c r="K3" s="34"/>
      <c r="L3" s="34"/>
      <c r="M3" s="34"/>
      <c r="N3" s="34"/>
      <c r="O3" s="34"/>
      <c r="Y3" s="393" t="s">
        <v>78</v>
      </c>
      <c r="Z3" s="393"/>
      <c r="AA3" s="393"/>
      <c r="AB3" s="394"/>
      <c r="AD3" s="386" t="s">
        <v>79</v>
      </c>
      <c r="AE3" s="386"/>
      <c r="AF3" s="386"/>
      <c r="AH3" s="384"/>
      <c r="AI3" s="384"/>
      <c r="AJ3" s="384"/>
    </row>
    <row r="4" spans="1:36" ht="51.75" customHeight="1" thickBot="1" x14ac:dyDescent="0.35">
      <c r="A4" s="32"/>
      <c r="B4" s="383"/>
      <c r="C4" s="383"/>
      <c r="D4" s="129" t="s">
        <v>80</v>
      </c>
      <c r="E4" s="130"/>
      <c r="F4" s="131"/>
      <c r="G4" s="132" t="s">
        <v>81</v>
      </c>
      <c r="H4" s="133"/>
      <c r="I4" s="133"/>
      <c r="J4" s="134"/>
      <c r="K4" s="388" t="s">
        <v>82</v>
      </c>
      <c r="L4" s="389"/>
      <c r="M4" s="389"/>
      <c r="N4" s="390"/>
      <c r="O4" s="391" t="s">
        <v>736</v>
      </c>
      <c r="P4" s="392"/>
      <c r="R4" s="10" t="s">
        <v>83</v>
      </c>
      <c r="S4" s="10" t="s">
        <v>84</v>
      </c>
      <c r="T4" s="10" t="s">
        <v>85</v>
      </c>
      <c r="U4" s="10" t="s">
        <v>86</v>
      </c>
      <c r="V4" s="13"/>
      <c r="Y4" s="59" t="s">
        <v>11</v>
      </c>
      <c r="Z4" s="59" t="s">
        <v>13</v>
      </c>
      <c r="AA4" s="59" t="s">
        <v>9</v>
      </c>
      <c r="AB4" s="118" t="s">
        <v>14</v>
      </c>
      <c r="AD4" s="119" t="s">
        <v>10</v>
      </c>
      <c r="AE4" s="119" t="s">
        <v>1</v>
      </c>
      <c r="AF4" s="119" t="s">
        <v>12</v>
      </c>
      <c r="AH4" s="7"/>
      <c r="AI4" s="3"/>
      <c r="AJ4" s="3"/>
    </row>
    <row r="5" spans="1:36" ht="60.75" customHeight="1" thickBot="1" x14ac:dyDescent="0.3">
      <c r="A5" s="174" t="s">
        <v>16</v>
      </c>
      <c r="B5" s="124" t="s">
        <v>87</v>
      </c>
      <c r="C5" s="125" t="s">
        <v>88</v>
      </c>
      <c r="D5" s="126" t="s">
        <v>89</v>
      </c>
      <c r="E5" s="127" t="s">
        <v>90</v>
      </c>
      <c r="F5" s="128" t="s">
        <v>91</v>
      </c>
      <c r="G5" s="126" t="s">
        <v>92</v>
      </c>
      <c r="H5" s="127" t="s">
        <v>93</v>
      </c>
      <c r="I5" s="127" t="s">
        <v>94</v>
      </c>
      <c r="J5" s="128" t="s">
        <v>95</v>
      </c>
      <c r="K5" s="126" t="s">
        <v>96</v>
      </c>
      <c r="L5" s="127" t="s">
        <v>97</v>
      </c>
      <c r="M5" s="127" t="s">
        <v>98</v>
      </c>
      <c r="N5" s="128" t="s">
        <v>99</v>
      </c>
      <c r="O5" s="128" t="s">
        <v>60</v>
      </c>
      <c r="P5" s="128" t="s">
        <v>61</v>
      </c>
      <c r="Q5" t="e">
        <f>"&lt;&gt;"&amp;#REF!</f>
        <v>#REF!</v>
      </c>
      <c r="R5" s="10" t="s">
        <v>96</v>
      </c>
      <c r="S5" s="10" t="s">
        <v>100</v>
      </c>
      <c r="T5" s="10" t="s">
        <v>101</v>
      </c>
      <c r="U5" s="53" t="s">
        <v>102</v>
      </c>
      <c r="V5" s="170" t="s">
        <v>103</v>
      </c>
      <c r="W5" s="10" t="s">
        <v>104</v>
      </c>
      <c r="Y5" s="108"/>
      <c r="Z5" s="59" t="s">
        <v>5</v>
      </c>
      <c r="AA5" s="59" t="s">
        <v>7</v>
      </c>
      <c r="AB5" s="59" t="s">
        <v>3</v>
      </c>
      <c r="AD5" s="119" t="s">
        <v>4</v>
      </c>
      <c r="AE5" s="119" t="s">
        <v>8</v>
      </c>
      <c r="AF5" s="119" t="s">
        <v>6</v>
      </c>
      <c r="AH5" s="8"/>
      <c r="AI5" s="8"/>
      <c r="AJ5" s="3"/>
    </row>
    <row r="6" spans="1:36" ht="21.95" customHeight="1" x14ac:dyDescent="0.35">
      <c r="A6" s="120" t="s">
        <v>26</v>
      </c>
      <c r="B6" s="237">
        <f>+COUNTIF('Seguimiento Julio 2024'!$C$12:$C$262,'estado terrenos '!A6)</f>
        <v>5</v>
      </c>
      <c r="C6" s="238">
        <f>+COUNTIFS('Seguimiento Julio 2024'!$C$12:$C$256,'estado terrenos '!A6,'Seguimiento Julio 2024'!$H$12:$H$256,$Z$4,'Seguimiento Julio 2024'!$Q$12:$Q$256,$AA$6)</f>
        <v>3</v>
      </c>
      <c r="D6" s="176">
        <f>+COUNTIFS('Seguimiento Julio 2024'!$C$12:$C$262,'estado terrenos '!A6,'Seguimiento Julio 2024'!$H$12:$H$262,$Z$5)+COUNTIFS('Seguimiento Julio 2024'!$C$12:$C$262,'estado terrenos '!A6,'Seguimiento Julio 2024'!$H$12:$H$262,$AA$5)+COUNTIFS('Seguimiento Julio 2024'!$C$12:$C$262,'estado terrenos '!A6,'Seguimiento Julio 2024'!$H$12:$H$262,$AB$5)+COUNTIFS('Seguimiento Julio 2024'!$C$12:$C$262,'estado terrenos '!A6,'Seguimiento Julio 2024'!$H$12:$H$262,$Z$6)+COUNTIFS('Seguimiento Julio 2024'!$C$12:$C$262,'estado terrenos '!A6,'Seguimiento Julio 2024'!$H$12:$H$262,$AA$4)+COUNTIFS('Seguimiento Julio 2024'!$C$12:$C$262,'estado terrenos '!A6,'Seguimiento Julio 2024'!$H$12:$H$262,$Y$4)</f>
        <v>1</v>
      </c>
      <c r="E6" s="175">
        <f>+COUNTIFS('Seguimiento Julio 2024'!$C$12:$C$262,'estado terrenos '!A6,'Seguimiento Julio 2024'!$H$12:$H$262,$AA$4)+COUNTIFS('Seguimiento Julio 2024'!$C$12:$C$262,'estado terrenos '!A6,'Seguimiento Julio 2024'!$H$12:$H$262,$Y$4)</f>
        <v>1</v>
      </c>
      <c r="F6" s="177">
        <f>+COUNTIFS('Seguimiento Julio 2024'!$C$12:$C$262,'estado terrenos '!A6,'Seguimiento Julio 2024'!$H$12:$H$262,$Z$5)+COUNTIFS('Seguimiento Julio 2024'!$C$12:$C$262,'estado terrenos '!A6,'Seguimiento Julio 2024'!$H$12:$H$262,$AA$5)+COUNTIFS('Seguimiento Julio 2024'!$C$12:$C$262,'estado terrenos '!A6,'Seguimiento Julio 2024'!$H$12:$H$262,$AB$5)+COUNTIFS('Seguimiento Julio 2024'!$C$12:$C$262,'estado terrenos '!A6,'Seguimiento Julio 2024'!$H$12:$H$262,$Z$6)</f>
        <v>0</v>
      </c>
      <c r="G6" s="176">
        <f>+COUNTIFS('Seguimiento Julio 2024'!$C$12:$C$262,'estado terrenos '!A6,'Seguimiento Julio 2024'!$H$12:$H$262,$AB$4)</f>
        <v>1</v>
      </c>
      <c r="H6" s="175">
        <f>+COUNTIFS('Seguimiento Julio 2024'!$C$12:$C$262,'estado terrenos '!A6,'Seguimiento Julio 2024'!$H$12:$H$262,'estado terrenos '!$AB$4,'Seguimiento Julio 2024'!$I$12:$I$262,'estado terrenos '!$AF$4)</f>
        <v>0</v>
      </c>
      <c r="I6" s="175">
        <f>+COUNTIFS('Seguimiento Julio 2024'!$C$12:$C$262,'estado terrenos '!A6,'Seguimiento Julio 2024'!$H$12:$H$262,'estado terrenos '!$AB$4,'Seguimiento Julio 2024'!$I$12:$I$262,$AE$4)+COUNTIFS('Seguimiento Julio 2024'!$C$12:$C$262,'estado terrenos '!A6,'Seguimiento Julio 2024'!$H$12:$H$262,'estado terrenos '!$AB$4,'Seguimiento Julio 2024'!$I$12:$I$262,$AD$5)</f>
        <v>0</v>
      </c>
      <c r="J6" s="177">
        <f>+COUNTIFS('Seguimiento Julio 2024'!$C$12:$C$262,'estado terrenos '!A6,'Seguimiento Julio 2024'!$H$12:$H$262,'estado terrenos '!$AB$4,'Seguimiento Julio 2024'!$I$12:$I$262,$AD$4)+COUNTIFS('Seguimiento Julio 2024'!$C$12:$C$262,'estado terrenos '!A6,'Seguimiento Julio 2024'!$H$12:$H$262,'estado terrenos '!$AB$4,'Seguimiento Julio 2024'!$I$12:$I$262,'estado terrenos '!$AE$5)+COUNTIFS('Seguimiento Julio 2024'!$C$12:$C$262,'estado terrenos '!A6,'Seguimiento Julio 2024'!$H$12:$H$262,'estado terrenos '!$AB$4,'Seguimiento Julio 2024'!$I$12:$I$262,'estado terrenos '!$AF$5)</f>
        <v>1</v>
      </c>
      <c r="K6" s="267">
        <f>R6</f>
        <v>0</v>
      </c>
      <c r="L6" s="268">
        <f>S6</f>
        <v>0</v>
      </c>
      <c r="M6" s="268">
        <f>T6</f>
        <v>0</v>
      </c>
      <c r="N6" s="328">
        <f>U6</f>
        <v>0</v>
      </c>
      <c r="O6" s="267" t="e">
        <f>'Resumen Servicio operando PI'!B5</f>
        <v>#REF!</v>
      </c>
      <c r="P6" s="268" t="e">
        <f>'Resumen Servicio operando PI'!C5</f>
        <v>#REF!</v>
      </c>
      <c r="Q6" s="1"/>
      <c r="R6" s="1">
        <f>+COUNTIFS('Seguimiento Julio 2024'!$C$12:$C$256,'estado terrenos '!$A6,'Seguimiento Julio 2024'!$Q$12:$Q$256,'estado terrenos '!$R$5,'Seguimiento Julio 2024'!$Q$12:$Q$256,$R$4,'Seguimiento Julio 2024'!$H$12:$H$256,'estado terrenos '!$Q$5)</f>
        <v>0</v>
      </c>
      <c r="S6" s="1">
        <f>+COUNTIFS('Seguimiento Julio 2024'!$C$12:$C$262,'estado terrenos '!$A6,'Seguimiento Julio 2024'!$Q$12:$Q$262,'estado terrenos '!S$5,'Seguimiento Julio 2024'!$Q$12:$Q$262,S$4,'Seguimiento Julio 2024'!$H$12:$H$262,'estado terrenos '!$Q$5)</f>
        <v>0</v>
      </c>
      <c r="T6" s="1">
        <f>+COUNTIFS('Seguimiento Julio 2024'!$C$12:$C$262,'estado terrenos '!$A6,'Seguimiento Julio 2024'!$Q$12:$Q$262,'estado terrenos '!T$5,'Seguimiento Julio 2024'!$Q$12:$Q$262,T$4,'Seguimiento Julio 2024'!$H$12:$H$262,'estado terrenos '!$Q$5)</f>
        <v>0</v>
      </c>
      <c r="U6" s="1">
        <f>+COUNTIFS('Seguimiento Julio 2024'!$C$12:$C$262,'estado terrenos '!$A6,'Seguimiento Julio 2024'!$Q$12:$Q$262,'estado terrenos '!U$5,'Seguimiento Julio 2024'!$Q$12:$Q$262,U$4,'Seguimiento Julio 2024'!$H$12:$H$262,'estado terrenos '!$Q$5)</f>
        <v>0</v>
      </c>
      <c r="Y6" s="108"/>
      <c r="Z6" s="65" t="s">
        <v>0</v>
      </c>
      <c r="AA6" s="60" t="s">
        <v>105</v>
      </c>
      <c r="AB6" s="117">
        <f>0%</f>
        <v>0</v>
      </c>
    </row>
    <row r="7" spans="1:36" ht="21.95" customHeight="1" x14ac:dyDescent="0.35">
      <c r="A7" s="121" t="s">
        <v>27</v>
      </c>
      <c r="B7" s="239">
        <f>+COUNTIF('Seguimiento Julio 2024'!$C$12:$C$262,'estado terrenos '!A7)</f>
        <v>5</v>
      </c>
      <c r="C7" s="240">
        <f>+COUNTIFS('Seguimiento Julio 2024'!$C$12:$C$256,'estado terrenos '!A7,'Seguimiento Julio 2024'!$H$12:$H$256,$Z$4,'Seguimiento Julio 2024'!$Q$12:$Q$256,$AA$6)</f>
        <v>1</v>
      </c>
      <c r="D7" s="179">
        <f>+COUNTIFS('Seguimiento Julio 2024'!$C$12:$C$262,'estado terrenos '!A7,'Seguimiento Julio 2024'!$H$12:$H$262,$Z$5)+COUNTIFS('Seguimiento Julio 2024'!$C$12:$C$262,'estado terrenos '!A7,'Seguimiento Julio 2024'!$H$12:$H$262,$AA$5)+COUNTIFS('Seguimiento Julio 2024'!$C$12:$C$262,'estado terrenos '!A7,'Seguimiento Julio 2024'!$H$12:$H$262,$AB$5)+COUNTIFS('Seguimiento Julio 2024'!$C$12:$C$262,'estado terrenos '!A7,'Seguimiento Julio 2024'!$H$12:$H$262,$Z$6)+COUNTIFS('Seguimiento Julio 2024'!$C$12:$C$262,'estado terrenos '!A7,'Seguimiento Julio 2024'!$H$12:$H$262,$AA$4)+COUNTIFS('Seguimiento Julio 2024'!$C$12:$C$262,'estado terrenos '!A7,'Seguimiento Julio 2024'!$H$12:$H$262,$Y$4)</f>
        <v>3</v>
      </c>
      <c r="E7" s="178">
        <f>+COUNTIFS('Seguimiento Julio 2024'!$C$12:$C$262,'estado terrenos '!A7,'Seguimiento Julio 2024'!$H$12:$H$262,$AA$4)+COUNTIFS('Seguimiento Julio 2024'!$C$12:$C$262,'estado terrenos '!A7,'Seguimiento Julio 2024'!$H$12:$H$262,$Y$4)</f>
        <v>0</v>
      </c>
      <c r="F7" s="180">
        <f>+COUNTIFS('Seguimiento Julio 2024'!$C$12:$C$262,'estado terrenos '!A7,'Seguimiento Julio 2024'!$H$12:$H$262,$Z$5)+COUNTIFS('Seguimiento Julio 2024'!$C$12:$C$262,'estado terrenos '!A7,'Seguimiento Julio 2024'!$H$12:$H$262,$AA$5)+COUNTIFS('Seguimiento Julio 2024'!$C$12:$C$262,'estado terrenos '!A7,'Seguimiento Julio 2024'!$H$12:$H$262,$AB$5)+COUNTIFS('Seguimiento Julio 2024'!$C$12:$C$262,'estado terrenos '!A7,'Seguimiento Julio 2024'!$H$12:$H$262,$Z$6)</f>
        <v>3</v>
      </c>
      <c r="G7" s="179">
        <f>+COUNTIFS('Seguimiento Julio 2024'!$C$12:$C$262,'estado terrenos '!A7,'Seguimiento Julio 2024'!$H$12:$H$262,$AB$4)</f>
        <v>1</v>
      </c>
      <c r="H7" s="178">
        <f>+COUNTIFS('Seguimiento Julio 2024'!$C$12:$C$262,'estado terrenos '!A7,'Seguimiento Julio 2024'!$H$12:$H$262,'estado terrenos '!$AB$4,'Seguimiento Julio 2024'!$I$12:$I$262,$AF$4)</f>
        <v>0</v>
      </c>
      <c r="I7" s="178">
        <f>+COUNTIFS('Seguimiento Julio 2024'!$C$12:$C$262,'estado terrenos '!A7,'Seguimiento Julio 2024'!$H$12:$H$262,'estado terrenos '!$AB$4,'Seguimiento Julio 2024'!$I$12:$I$262,$AE$4)+COUNTIFS('Seguimiento Julio 2024'!$C$12:$C$262,'estado terrenos '!A7,'Seguimiento Julio 2024'!$H$12:$H$262,'estado terrenos '!$AB$4,'Seguimiento Julio 2024'!$I$12:$I$262,$AD$5)</f>
        <v>1</v>
      </c>
      <c r="J7" s="180">
        <f>+COUNTIFS('Seguimiento Julio 2024'!$C$12:$C$262,'estado terrenos '!A7,'Seguimiento Julio 2024'!$H$12:$H$262,'estado terrenos '!$AB$4,'Seguimiento Julio 2024'!$I$12:$I$262,$AD$4)+COUNTIFS('Seguimiento Julio 2024'!$C$12:$C$262,'estado terrenos '!A7,'Seguimiento Julio 2024'!$H$12:$H$262,'estado terrenos '!$AB$4,'Seguimiento Julio 2024'!$I$12:$I$262,'estado terrenos '!$AE$5)+COUNTIFS('Seguimiento Julio 2024'!$C$12:$C$262,'estado terrenos '!A7,'Seguimiento Julio 2024'!$H$12:$H$262,'estado terrenos '!$AB$4,'Seguimiento Julio 2024'!$I$12:$I$262,'estado terrenos '!$AF$5)</f>
        <v>0</v>
      </c>
      <c r="K7" s="221">
        <f t="shared" ref="K7:K37" si="0">R7</f>
        <v>0</v>
      </c>
      <c r="L7" s="269">
        <f t="shared" ref="L7:L36" si="1">S7</f>
        <v>0</v>
      </c>
      <c r="M7" s="269">
        <f t="shared" ref="M7:M36" si="2">T7</f>
        <v>0</v>
      </c>
      <c r="N7" s="329">
        <f t="shared" ref="N7:N36" si="3">U7</f>
        <v>0</v>
      </c>
      <c r="O7" s="221" t="e">
        <f>'Resumen Servicio operando PI'!B6</f>
        <v>#REF!</v>
      </c>
      <c r="P7" s="269" t="e">
        <f>'Resumen Servicio operando PI'!C6</f>
        <v>#REF!</v>
      </c>
      <c r="Q7" s="1"/>
      <c r="R7" s="1">
        <f>+COUNTIFS('Seguimiento Julio 2024'!$C$12:$C$256,'estado terrenos '!$A7,'Seguimiento Julio 2024'!$Q$12:$Q$256,'estado terrenos '!$R$5,'Seguimiento Julio 2024'!$Q$12:$Q$256,$R$4,'Seguimiento Julio 2024'!$H$12:$H$256,'estado terrenos '!$Q$5)</f>
        <v>0</v>
      </c>
      <c r="S7" s="1">
        <f>+COUNTIFS('Seguimiento Julio 2024'!$C$12:$C$262,'estado terrenos '!$A7,'Seguimiento Julio 2024'!$Q$12:$Q$262,'estado terrenos '!S$5,'Seguimiento Julio 2024'!$Q$12:$Q$262,S$4,'Seguimiento Julio 2024'!$H$12:$H$262,'estado terrenos '!$Q$5)</f>
        <v>0</v>
      </c>
      <c r="T7" s="1">
        <f>+COUNTIFS('Seguimiento Julio 2024'!$C$12:$C$262,'estado terrenos '!$A7,'Seguimiento Julio 2024'!$Q$12:$Q$262,'estado terrenos '!T$5,'Seguimiento Julio 2024'!$Q$12:$Q$262,T$4,'Seguimiento Julio 2024'!$H$12:$H$262,'estado terrenos '!$Q$5)</f>
        <v>0</v>
      </c>
      <c r="U7" s="1">
        <f>+COUNTIFS('Seguimiento Julio 2024'!$C$12:$C$262,'estado terrenos '!$A7,'Seguimiento Julio 2024'!$Q$12:$Q$262,'estado terrenos '!U$5,'Seguimiento Julio 2024'!$Q$12:$Q$262,U$4,'Seguimiento Julio 2024'!$H$12:$H$262,'estado terrenos '!$Q$5)</f>
        <v>0</v>
      </c>
      <c r="AI7" s="4"/>
    </row>
    <row r="8" spans="1:36" ht="21.95" customHeight="1" x14ac:dyDescent="0.35">
      <c r="A8" s="121" t="s">
        <v>28</v>
      </c>
      <c r="B8" s="239">
        <f>+COUNTIF('Seguimiento Julio 2024'!$C$12:$C$262,'estado terrenos '!A8)</f>
        <v>5</v>
      </c>
      <c r="C8" s="240">
        <f>+COUNTIFS('Seguimiento Julio 2024'!$C$12:$C$256,'estado terrenos '!A8,'Seguimiento Julio 2024'!$H$12:$H$256,$Z$4,'Seguimiento Julio 2024'!$Q$12:$Q$256,$AA$6)</f>
        <v>2</v>
      </c>
      <c r="D8" s="179">
        <f>+COUNTIFS('Seguimiento Julio 2024'!$C$12:$C$262,'estado terrenos '!A8,'Seguimiento Julio 2024'!$H$12:$H$262,$Z$5)+COUNTIFS('Seguimiento Julio 2024'!$C$12:$C$262,'estado terrenos '!A8,'Seguimiento Julio 2024'!$H$12:$H$262,$AA$5)+COUNTIFS('Seguimiento Julio 2024'!$C$12:$C$262,'estado terrenos '!A8,'Seguimiento Julio 2024'!$H$12:$H$262,$AB$5)+COUNTIFS('Seguimiento Julio 2024'!$C$12:$C$262,'estado terrenos '!A8,'Seguimiento Julio 2024'!$H$12:$H$262,$Z$6)+COUNTIFS('Seguimiento Julio 2024'!$C$12:$C$262,'estado terrenos '!A8,'Seguimiento Julio 2024'!$H$12:$H$262,$AA$4)+COUNTIFS('Seguimiento Julio 2024'!$C$12:$C$262,'estado terrenos '!A8,'Seguimiento Julio 2024'!$H$12:$H$262,$Y$4)</f>
        <v>2</v>
      </c>
      <c r="E8" s="178">
        <f>+COUNTIFS('Seguimiento Julio 2024'!$C$12:$C$262,'estado terrenos '!A8,'Seguimiento Julio 2024'!$H$12:$H$262,$AA$4)+COUNTIFS('Seguimiento Julio 2024'!$C$12:$C$262,'estado terrenos '!A8,'Seguimiento Julio 2024'!$H$12:$H$262,$Y$4)</f>
        <v>1</v>
      </c>
      <c r="F8" s="180">
        <f>+COUNTIFS('Seguimiento Julio 2024'!$C$12:$C$262,'estado terrenos '!A8,'Seguimiento Julio 2024'!$H$12:$H$262,$Z$5)+COUNTIFS('Seguimiento Julio 2024'!$C$12:$C$262,'estado terrenos '!A8,'Seguimiento Julio 2024'!$H$12:$H$262,$AA$5)+COUNTIFS('Seguimiento Julio 2024'!$C$12:$C$262,'estado terrenos '!A8,'Seguimiento Julio 2024'!$H$12:$H$262,$AB$5)+COUNTIFS('Seguimiento Julio 2024'!$C$12:$C$262,'estado terrenos '!A8,'Seguimiento Julio 2024'!$H$12:$H$262,$Z$6)</f>
        <v>1</v>
      </c>
      <c r="G8" s="179">
        <f>+COUNTIFS('Seguimiento Julio 2024'!$C$12:$C$262,'estado terrenos '!A8,'Seguimiento Julio 2024'!$H$12:$H$262,$AB$4)</f>
        <v>1</v>
      </c>
      <c r="H8" s="178">
        <f>+COUNTIFS('Seguimiento Julio 2024'!$C$12:$C$262,'estado terrenos '!A8,'Seguimiento Julio 2024'!$H$12:$H$262,'estado terrenos '!$AB$4,'Seguimiento Julio 2024'!$I$12:$I$262,$AF$4)</f>
        <v>0</v>
      </c>
      <c r="I8" s="178">
        <f>+COUNTIFS('Seguimiento Julio 2024'!$C$12:$C$262,'estado terrenos '!A8,'Seguimiento Julio 2024'!$H$12:$H$262,'estado terrenos '!$AB$4,'Seguimiento Julio 2024'!$I$12:$I$262,$AE$4)+COUNTIFS('Seguimiento Julio 2024'!$C$12:$C$262,'estado terrenos '!A8,'Seguimiento Julio 2024'!$H$12:$H$262,'estado terrenos '!$AB$4,'Seguimiento Julio 2024'!$I$12:$I$262,$AD$5)</f>
        <v>1</v>
      </c>
      <c r="J8" s="180">
        <f>+COUNTIFS('Seguimiento Julio 2024'!$C$12:$C$262,'estado terrenos '!A8,'Seguimiento Julio 2024'!$H$12:$H$262,'estado terrenos '!$AB$4,'Seguimiento Julio 2024'!$I$12:$I$262,$AD$4)+COUNTIFS('Seguimiento Julio 2024'!$C$12:$C$262,'estado terrenos '!A8,'Seguimiento Julio 2024'!$H$12:$H$262,'estado terrenos '!$AB$4,'Seguimiento Julio 2024'!$I$12:$I$262,'estado terrenos '!$AE$5)+COUNTIFS('Seguimiento Julio 2024'!$C$12:$C$262,'estado terrenos '!A8,'Seguimiento Julio 2024'!$H$12:$H$262,'estado terrenos '!$AB$4,'Seguimiento Julio 2024'!$I$12:$I$262,'estado terrenos '!$AF$5)</f>
        <v>0</v>
      </c>
      <c r="K8" s="221">
        <f t="shared" si="0"/>
        <v>0</v>
      </c>
      <c r="L8" s="269">
        <f t="shared" si="1"/>
        <v>0</v>
      </c>
      <c r="M8" s="269">
        <f t="shared" si="2"/>
        <v>0</v>
      </c>
      <c r="N8" s="329">
        <f t="shared" si="3"/>
        <v>0</v>
      </c>
      <c r="O8" s="221" t="e">
        <f>'Resumen Servicio operando PI'!B7</f>
        <v>#REF!</v>
      </c>
      <c r="P8" s="269" t="e">
        <f>'Resumen Servicio operando PI'!C7</f>
        <v>#REF!</v>
      </c>
      <c r="Q8" s="1"/>
      <c r="R8" s="1">
        <f>+COUNTIFS('Seguimiento Julio 2024'!$C$12:$C$256,'estado terrenos '!$A8,'Seguimiento Julio 2024'!$Q$12:$Q$256,'estado terrenos '!$R$5,'Seguimiento Julio 2024'!$Q$12:$Q$256,$R$4,'Seguimiento Julio 2024'!$H$12:$H$256,'estado terrenos '!$Q$5)</f>
        <v>0</v>
      </c>
      <c r="S8" s="1">
        <f>+COUNTIFS('Seguimiento Julio 2024'!$C$12:$C$262,'estado terrenos '!$A8,'Seguimiento Julio 2024'!$Q$12:$Q$262,'estado terrenos '!S$5,'Seguimiento Julio 2024'!$Q$12:$Q$262,S$4,'Seguimiento Julio 2024'!$H$12:$H$262,'estado terrenos '!$Q$5)</f>
        <v>0</v>
      </c>
      <c r="T8" s="1">
        <f>+COUNTIFS('Seguimiento Julio 2024'!$C$12:$C$262,'estado terrenos '!$A8,'Seguimiento Julio 2024'!$Q$12:$Q$262,'estado terrenos '!T$5,'Seguimiento Julio 2024'!$Q$12:$Q$262,T$4,'Seguimiento Julio 2024'!$H$12:$H$262,'estado terrenos '!$Q$5)</f>
        <v>0</v>
      </c>
      <c r="U8" s="1">
        <f>+COUNTIFS('Seguimiento Julio 2024'!$C$12:$C$262,'estado terrenos '!$A8,'Seguimiento Julio 2024'!$Q$12:$Q$262,'estado terrenos '!U$5,'Seguimiento Julio 2024'!$Q$12:$Q$262,U$4,'Seguimiento Julio 2024'!$H$12:$H$262,'estado terrenos '!$Q$5)</f>
        <v>0</v>
      </c>
      <c r="AD8" s="6"/>
      <c r="AE8" s="6"/>
      <c r="AF8" s="6"/>
      <c r="AH8" s="4"/>
      <c r="AI8" s="4"/>
    </row>
    <row r="9" spans="1:36" ht="27" customHeight="1" x14ac:dyDescent="0.35">
      <c r="A9" s="121" t="s">
        <v>29</v>
      </c>
      <c r="B9" s="239">
        <f>+COUNTIF('Seguimiento Julio 2024'!$C$12:$C$262,'estado terrenos '!A9)</f>
        <v>3</v>
      </c>
      <c r="C9" s="240">
        <f>+COUNTIFS('Seguimiento Julio 2024'!$C$12:$C$256,'estado terrenos '!A9,'Seguimiento Julio 2024'!$H$12:$H$256,$Z$4,'Seguimiento Julio 2024'!$Q$12:$Q$256,$AA$6)</f>
        <v>0</v>
      </c>
      <c r="D9" s="179">
        <f>+COUNTIFS('Seguimiento Julio 2024'!$C$12:$C$262,'estado terrenos '!A9,'Seguimiento Julio 2024'!$H$12:$H$262,$Z$5)+COUNTIFS('Seguimiento Julio 2024'!$C$12:$C$262,'estado terrenos '!A9,'Seguimiento Julio 2024'!$H$12:$H$262,$AA$5)+COUNTIFS('Seguimiento Julio 2024'!$C$12:$C$262,'estado terrenos '!A9,'Seguimiento Julio 2024'!$H$12:$H$262,$AB$5)+COUNTIFS('Seguimiento Julio 2024'!$C$12:$C$262,'estado terrenos '!A9,'Seguimiento Julio 2024'!$H$12:$H$262,$Z$6)+COUNTIFS('Seguimiento Julio 2024'!$C$12:$C$262,'estado terrenos '!A9,'Seguimiento Julio 2024'!$H$12:$H$262,$AA$4)+COUNTIFS('Seguimiento Julio 2024'!$C$12:$C$262,'estado terrenos '!A9,'Seguimiento Julio 2024'!$H$12:$H$262,$Y$4)</f>
        <v>2</v>
      </c>
      <c r="E9" s="178">
        <f>+COUNTIFS('Seguimiento Julio 2024'!$C$12:$C$262,'estado terrenos '!A9,'Seguimiento Julio 2024'!$H$12:$H$262,$AA$4)+COUNTIFS('Seguimiento Julio 2024'!$C$12:$C$262,'estado terrenos '!A9,'Seguimiento Julio 2024'!$H$12:$H$262,$Y$4)</f>
        <v>0</v>
      </c>
      <c r="F9" s="180">
        <f>+COUNTIFS('Seguimiento Julio 2024'!$C$12:$C$262,'estado terrenos '!A9,'Seguimiento Julio 2024'!$H$12:$H$262,$Z$5)+COUNTIFS('Seguimiento Julio 2024'!$C$12:$C$262,'estado terrenos '!A9,'Seguimiento Julio 2024'!$H$12:$H$262,$AA$5)+COUNTIFS('Seguimiento Julio 2024'!$C$12:$C$262,'estado terrenos '!A9,'Seguimiento Julio 2024'!$H$12:$H$262,$AB$5)+COUNTIFS('Seguimiento Julio 2024'!$C$12:$C$262,'estado terrenos '!A9,'Seguimiento Julio 2024'!$H$12:$H$262,$Z$6)</f>
        <v>2</v>
      </c>
      <c r="G9" s="179">
        <f>+COUNTIFS('Seguimiento Julio 2024'!$C$12:$C$262,'estado terrenos '!A9,'Seguimiento Julio 2024'!$H$12:$H$262,$AB$4)</f>
        <v>1</v>
      </c>
      <c r="H9" s="178">
        <f>+COUNTIFS('Seguimiento Julio 2024'!$C$12:$C$262,'estado terrenos '!A9,'Seguimiento Julio 2024'!$H$12:$H$262,'estado terrenos '!$AB$4,'Seguimiento Julio 2024'!$I$12:$I$262,$AF$4)</f>
        <v>1</v>
      </c>
      <c r="I9" s="178">
        <f>+COUNTIFS('Seguimiento Julio 2024'!$C$12:$C$262,'estado terrenos '!A9,'Seguimiento Julio 2024'!$H$12:$H$262,'estado terrenos '!$AB$4,'Seguimiento Julio 2024'!$I$12:$I$262,$AE$4)+COUNTIFS('Seguimiento Julio 2024'!$C$12:$C$262,'estado terrenos '!A9,'Seguimiento Julio 2024'!$H$12:$H$262,'estado terrenos '!$AB$4,'Seguimiento Julio 2024'!$I$12:$I$262,$AD$5)</f>
        <v>0</v>
      </c>
      <c r="J9" s="180">
        <f>+COUNTIFS('Seguimiento Julio 2024'!$C$12:$C$262,'estado terrenos '!A9,'Seguimiento Julio 2024'!$H$12:$H$262,'estado terrenos '!$AB$4,'Seguimiento Julio 2024'!$I$12:$I$262,$AD$4)+COUNTIFS('Seguimiento Julio 2024'!$C$12:$C$262,'estado terrenos '!A9,'Seguimiento Julio 2024'!$H$12:$H$262,'estado terrenos '!$AB$4,'Seguimiento Julio 2024'!$I$12:$I$262,'estado terrenos '!$AE$5)+COUNTIFS('Seguimiento Julio 2024'!$C$12:$C$262,'estado terrenos '!A9,'Seguimiento Julio 2024'!$H$12:$H$262,'estado terrenos '!$AB$4,'Seguimiento Julio 2024'!$I$12:$I$262,'estado terrenos '!$AF$5)</f>
        <v>0</v>
      </c>
      <c r="K9" s="221">
        <f t="shared" si="0"/>
        <v>0</v>
      </c>
      <c r="L9" s="269">
        <f t="shared" si="1"/>
        <v>0</v>
      </c>
      <c r="M9" s="269">
        <f t="shared" si="2"/>
        <v>0</v>
      </c>
      <c r="N9" s="329">
        <f t="shared" si="3"/>
        <v>0</v>
      </c>
      <c r="O9" s="221" t="e">
        <f>'Resumen Servicio operando PI'!B8</f>
        <v>#REF!</v>
      </c>
      <c r="P9" s="269" t="e">
        <f>'Resumen Servicio operando PI'!C8</f>
        <v>#REF!</v>
      </c>
      <c r="Q9" s="1"/>
      <c r="R9" s="1">
        <f>+COUNTIFS('Seguimiento Julio 2024'!$C$12:$C$256,'estado terrenos '!$A9,'Seguimiento Julio 2024'!$Q$12:$Q$256,'estado terrenos '!$R$5,'Seguimiento Julio 2024'!$Q$12:$Q$256,$R$4,'Seguimiento Julio 2024'!$H$12:$H$256,'estado terrenos '!$Q$5)</f>
        <v>0</v>
      </c>
      <c r="S9" s="1">
        <f>+COUNTIFS('Seguimiento Julio 2024'!$C$12:$C$262,'estado terrenos '!$A9,'Seguimiento Julio 2024'!$Q$12:$Q$262,'estado terrenos '!S$5,'Seguimiento Julio 2024'!$Q$12:$Q$262,S$4,'Seguimiento Julio 2024'!$H$12:$H$262,'estado terrenos '!$Q$5)</f>
        <v>0</v>
      </c>
      <c r="T9" s="1">
        <f>+COUNTIFS('Seguimiento Julio 2024'!$C$12:$C$262,'estado terrenos '!$A9,'Seguimiento Julio 2024'!$Q$12:$Q$262,'estado terrenos '!T$5,'Seguimiento Julio 2024'!$Q$12:$Q$262,T$4,'Seguimiento Julio 2024'!$H$12:$H$262,'estado terrenos '!$Q$5)</f>
        <v>0</v>
      </c>
      <c r="U9" s="1">
        <f>+COUNTIFS('Seguimiento Julio 2024'!$C$12:$C$262,'estado terrenos '!$A9,'Seguimiento Julio 2024'!$Q$12:$Q$262,'estado terrenos '!U$5,'Seguimiento Julio 2024'!$Q$12:$Q$262,U$4,'Seguimiento Julio 2024'!$H$12:$H$262,'estado terrenos '!$Q$5)</f>
        <v>0</v>
      </c>
      <c r="Z9" s="1"/>
      <c r="AD9" s="6"/>
      <c r="AE9" s="6"/>
      <c r="AF9" s="6"/>
      <c r="AH9" s="4"/>
      <c r="AI9" s="4"/>
    </row>
    <row r="10" spans="1:36" ht="21.95" customHeight="1" x14ac:dyDescent="0.35">
      <c r="A10" s="121" t="s">
        <v>30</v>
      </c>
      <c r="B10" s="239">
        <f>+COUNTIF('Seguimiento Julio 2024'!$C$12:$C$262,'estado terrenos '!A10)</f>
        <v>14</v>
      </c>
      <c r="C10" s="240">
        <f>+COUNTIFS('Seguimiento Julio 2024'!$C$12:$C$256,'estado terrenos '!A10,'Seguimiento Julio 2024'!$H$12:$H$256,$Z$4,'Seguimiento Julio 2024'!$Q$12:$Q$256,$AA$6)</f>
        <v>3</v>
      </c>
      <c r="D10" s="179">
        <f>+COUNTIFS('Seguimiento Julio 2024'!$C$12:$C$262,'estado terrenos '!A10,'Seguimiento Julio 2024'!$H$12:$H$262,$Z$5)+COUNTIFS('Seguimiento Julio 2024'!$C$12:$C$262,'estado terrenos '!A10,'Seguimiento Julio 2024'!$H$12:$H$262,$AA$5)+COUNTIFS('Seguimiento Julio 2024'!$C$12:$C$262,'estado terrenos '!A10,'Seguimiento Julio 2024'!$H$12:$H$262,$AB$5)+COUNTIFS('Seguimiento Julio 2024'!$C$12:$C$262,'estado terrenos '!A10,'Seguimiento Julio 2024'!$H$12:$H$262,$Z$6)+COUNTIFS('Seguimiento Julio 2024'!$C$12:$C$262,'estado terrenos '!A10,'Seguimiento Julio 2024'!$H$12:$H$262,$AA$4)+COUNTIFS('Seguimiento Julio 2024'!$C$12:$C$262,'estado terrenos '!A10,'Seguimiento Julio 2024'!$H$12:$H$262,$Y$4)</f>
        <v>6</v>
      </c>
      <c r="E10" s="178">
        <f>+COUNTIFS('Seguimiento Julio 2024'!$C$12:$C$262,'estado terrenos '!A10,'Seguimiento Julio 2024'!$H$12:$H$262,$AA$4)+COUNTIFS('Seguimiento Julio 2024'!$C$12:$C$262,'estado terrenos '!A10,'Seguimiento Julio 2024'!$H$12:$H$262,$Y$4)</f>
        <v>0</v>
      </c>
      <c r="F10" s="180">
        <f>+COUNTIFS('Seguimiento Julio 2024'!$C$12:$C$262,'estado terrenos '!A10,'Seguimiento Julio 2024'!$H$12:$H$262,$Z$5)+COUNTIFS('Seguimiento Julio 2024'!$C$12:$C$262,'estado terrenos '!A10,'Seguimiento Julio 2024'!$H$12:$H$262,$AA$5)+COUNTIFS('Seguimiento Julio 2024'!$C$12:$C$262,'estado terrenos '!A10,'Seguimiento Julio 2024'!$H$12:$H$262,$AB$5)+COUNTIFS('Seguimiento Julio 2024'!$C$12:$C$262,'estado terrenos '!A10,'Seguimiento Julio 2024'!$H$12:$H$262,$Z$6)</f>
        <v>6</v>
      </c>
      <c r="G10" s="179">
        <f>+COUNTIFS('Seguimiento Julio 2024'!$C$12:$C$262,'estado terrenos '!A10,'Seguimiento Julio 2024'!$H$12:$H$262,$AB$4)</f>
        <v>5</v>
      </c>
      <c r="H10" s="178">
        <f>+COUNTIFS('Seguimiento Julio 2024'!$C$12:$C$262,'estado terrenos '!A10,'Seguimiento Julio 2024'!$H$12:$H$262,'estado terrenos '!$AB$4,'Seguimiento Julio 2024'!$I$12:$I$262,$AF$4)</f>
        <v>4</v>
      </c>
      <c r="I10" s="178">
        <f>+COUNTIFS('Seguimiento Julio 2024'!$C$12:$C$262,'estado terrenos '!A10,'Seguimiento Julio 2024'!$H$12:$H$262,'estado terrenos '!$AB$4,'Seguimiento Julio 2024'!$I$12:$I$262,$AE$4)+COUNTIFS('Seguimiento Julio 2024'!$C$12:$C$262,'estado terrenos '!A10,'Seguimiento Julio 2024'!$H$12:$H$262,'estado terrenos '!$AB$4,'Seguimiento Julio 2024'!$I$12:$I$262,$AD$5)</f>
        <v>1</v>
      </c>
      <c r="J10" s="180">
        <f>+COUNTIFS('Seguimiento Julio 2024'!$C$12:$C$262,'estado terrenos '!A10,'Seguimiento Julio 2024'!$H$12:$H$262,'estado terrenos '!$AB$4,'Seguimiento Julio 2024'!$I$12:$I$262,$AD$4)+COUNTIFS('Seguimiento Julio 2024'!$C$12:$C$262,'estado terrenos '!A10,'Seguimiento Julio 2024'!$H$12:$H$262,'estado terrenos '!$AB$4,'Seguimiento Julio 2024'!$I$12:$I$262,'estado terrenos '!$AE$5)+COUNTIFS('Seguimiento Julio 2024'!$C$12:$C$262,'estado terrenos '!A10,'Seguimiento Julio 2024'!$H$12:$H$262,'estado terrenos '!$AB$4,'Seguimiento Julio 2024'!$I$12:$I$262,'estado terrenos '!$AF$5)</f>
        <v>0</v>
      </c>
      <c r="K10" s="221">
        <f t="shared" si="0"/>
        <v>0</v>
      </c>
      <c r="L10" s="269">
        <f t="shared" si="1"/>
        <v>0</v>
      </c>
      <c r="M10" s="269">
        <f t="shared" si="2"/>
        <v>0</v>
      </c>
      <c r="N10" s="329">
        <f t="shared" si="3"/>
        <v>0</v>
      </c>
      <c r="O10" s="221" t="e">
        <f>'Resumen Servicio operando PI'!B9</f>
        <v>#REF!</v>
      </c>
      <c r="P10" s="269" t="e">
        <f>'Resumen Servicio operando PI'!C9</f>
        <v>#REF!</v>
      </c>
      <c r="Q10" s="1"/>
      <c r="R10" s="1">
        <f>+COUNTIFS('Seguimiento Julio 2024'!$C$12:$C$256,'estado terrenos '!$A10,'Seguimiento Julio 2024'!$Q$12:$Q$256,'estado terrenos '!$R$5,'Seguimiento Julio 2024'!$Q$12:$Q$256,$R$4,'Seguimiento Julio 2024'!$H$12:$H$256,'estado terrenos '!$Q$5)</f>
        <v>0</v>
      </c>
      <c r="S10" s="1">
        <f>+COUNTIFS('Seguimiento Julio 2024'!$C$12:$C$262,'estado terrenos '!$A10,'Seguimiento Julio 2024'!$Q$12:$Q$262,'estado terrenos '!S$5,'Seguimiento Julio 2024'!$Q$12:$Q$262,S$4,'Seguimiento Julio 2024'!$H$12:$H$262,'estado terrenos '!$Q$5)</f>
        <v>0</v>
      </c>
      <c r="T10" s="1">
        <f>+COUNTIFS('Seguimiento Julio 2024'!$C$12:$C$262,'estado terrenos '!$A10,'Seguimiento Julio 2024'!$Q$12:$Q$262,'estado terrenos '!T$5,'Seguimiento Julio 2024'!$Q$12:$Q$262,T$4,'Seguimiento Julio 2024'!$H$12:$H$262,'estado terrenos '!$Q$5)</f>
        <v>0</v>
      </c>
      <c r="U10" s="1">
        <f>+COUNTIFS('Seguimiento Julio 2024'!$C$12:$C$262,'estado terrenos '!$A10,'Seguimiento Julio 2024'!$Q$12:$Q$262,'estado terrenos '!U$5,'Seguimiento Julio 2024'!$Q$12:$Q$262,U$4,'Seguimiento Julio 2024'!$H$12:$H$262,'estado terrenos '!$Q$5)</f>
        <v>0</v>
      </c>
      <c r="AD10" s="6"/>
      <c r="AE10" s="6"/>
      <c r="AF10" s="6"/>
      <c r="AH10" s="4"/>
      <c r="AI10" s="4"/>
    </row>
    <row r="11" spans="1:36" ht="21.95" customHeight="1" x14ac:dyDescent="0.35">
      <c r="A11" s="121" t="s">
        <v>31</v>
      </c>
      <c r="B11" s="239">
        <f>+COUNTIF('Seguimiento Julio 2024'!$C$12:$C$262,'estado terrenos '!A11)</f>
        <v>6</v>
      </c>
      <c r="C11" s="240">
        <f>+COUNTIFS('Seguimiento Julio 2024'!$C$12:$C$262,'estado terrenos '!A11,'Seguimiento Julio 2024'!$H$12:$H$262,$Z$4,'Seguimiento Julio 2024'!$Q$12:$Q$262,$AA$6)</f>
        <v>4</v>
      </c>
      <c r="D11" s="179">
        <f>+COUNTIFS('Seguimiento Julio 2024'!$C$12:$C$262,'estado terrenos '!A11,'Seguimiento Julio 2024'!$H$12:$H$262,$Z$5)+COUNTIFS('Seguimiento Julio 2024'!$C$12:$C$262,'estado terrenos '!A11,'Seguimiento Julio 2024'!$H$12:$H$262,$AA$5)+COUNTIFS('Seguimiento Julio 2024'!$C$12:$C$262,'estado terrenos '!A11,'Seguimiento Julio 2024'!$H$12:$H$262,$AB$5)+COUNTIFS('Seguimiento Julio 2024'!$C$12:$C$262,'estado terrenos '!A11,'Seguimiento Julio 2024'!$H$12:$H$262,$Z$6)+COUNTIFS('Seguimiento Julio 2024'!$C$12:$C$262,'estado terrenos '!A11,'Seguimiento Julio 2024'!$H$12:$H$262,$AA$4)+COUNTIFS('Seguimiento Julio 2024'!$C$12:$C$262,'estado terrenos '!A11,'Seguimiento Julio 2024'!$H$12:$H$262,$Y$4)</f>
        <v>2</v>
      </c>
      <c r="E11" s="178">
        <f>+COUNTIFS('Seguimiento Julio 2024'!$C$12:$C$262,'estado terrenos '!A11,'Seguimiento Julio 2024'!$H$12:$H$262,$AA$4)+COUNTIFS('Seguimiento Julio 2024'!$C$12:$C$262,'estado terrenos '!A11,'Seguimiento Julio 2024'!$H$12:$H$262,$Y$4)</f>
        <v>0</v>
      </c>
      <c r="F11" s="180">
        <f>+COUNTIFS('Seguimiento Julio 2024'!$C$12:$C$262,'estado terrenos '!A11,'Seguimiento Julio 2024'!$H$12:$H$262,$Z$5)+COUNTIFS('Seguimiento Julio 2024'!$C$12:$C$262,'estado terrenos '!A11,'Seguimiento Julio 2024'!$H$12:$H$262,$AA$5)+COUNTIFS('Seguimiento Julio 2024'!$C$12:$C$262,'estado terrenos '!A11,'Seguimiento Julio 2024'!$H$12:$H$262,$AB$5)+COUNTIFS('Seguimiento Julio 2024'!$C$12:$C$262,'estado terrenos '!A11,'Seguimiento Julio 2024'!$H$12:$H$262,$Z$6)</f>
        <v>2</v>
      </c>
      <c r="G11" s="179">
        <f>+COUNTIFS('Seguimiento Julio 2024'!$C$12:$C$262,'estado terrenos '!A11,'Seguimiento Julio 2024'!$H$12:$H$262,$AB$4)</f>
        <v>0</v>
      </c>
      <c r="H11" s="178">
        <f>+COUNTIFS('Seguimiento Julio 2024'!$C$12:$C$262,'estado terrenos '!A11,'Seguimiento Julio 2024'!$H$12:$H$262,'estado terrenos '!$AB$4,'Seguimiento Julio 2024'!$I$12:$I$262,$AF$4)</f>
        <v>0</v>
      </c>
      <c r="I11" s="178">
        <f>+COUNTIFS('Seguimiento Julio 2024'!$C$12:$C$262,'estado terrenos '!A11,'Seguimiento Julio 2024'!$H$12:$H$262,'estado terrenos '!$AB$4,'Seguimiento Julio 2024'!$I$12:$I$262,$AE$4)+COUNTIFS('Seguimiento Julio 2024'!$C$12:$C$262,'estado terrenos '!A11,'Seguimiento Julio 2024'!$H$12:$H$262,'estado terrenos '!$AB$4,'Seguimiento Julio 2024'!$I$12:$I$262,$AD$5)</f>
        <v>0</v>
      </c>
      <c r="J11" s="180">
        <f>+COUNTIFS('Seguimiento Julio 2024'!$C$12:$C$262,'estado terrenos '!A11,'Seguimiento Julio 2024'!$H$12:$H$262,'estado terrenos '!$AB$4,'Seguimiento Julio 2024'!$I$12:$I$262,$AD$4)+COUNTIFS('Seguimiento Julio 2024'!$C$12:$C$262,'estado terrenos '!A11,'Seguimiento Julio 2024'!$H$12:$H$262,'estado terrenos '!$AB$4,'Seguimiento Julio 2024'!$I$12:$I$262,'estado terrenos '!$AE$5)+COUNTIFS('Seguimiento Julio 2024'!$C$12:$C$262,'estado terrenos '!A11,'Seguimiento Julio 2024'!$H$12:$H$262,'estado terrenos '!$AB$4,'Seguimiento Julio 2024'!$I$12:$I$262,'estado terrenos '!$AF$5)</f>
        <v>0</v>
      </c>
      <c r="K11" s="221">
        <f t="shared" si="0"/>
        <v>0</v>
      </c>
      <c r="L11" s="269">
        <f t="shared" si="1"/>
        <v>0</v>
      </c>
      <c r="M11" s="269">
        <f t="shared" si="2"/>
        <v>0</v>
      </c>
      <c r="N11" s="329">
        <f t="shared" si="3"/>
        <v>0</v>
      </c>
      <c r="O11" s="221" t="e">
        <f>'Resumen Servicio operando PI'!B10</f>
        <v>#REF!</v>
      </c>
      <c r="P11" s="269" t="e">
        <f>'Resumen Servicio operando PI'!C10</f>
        <v>#REF!</v>
      </c>
      <c r="Q11" s="1"/>
      <c r="R11" s="1">
        <f>+COUNTIFS('Seguimiento Julio 2024'!$C$12:$C$256,'estado terrenos '!$A11,'Seguimiento Julio 2024'!$Q$12:$Q$256,'estado terrenos '!$R$5,'Seguimiento Julio 2024'!$Q$12:$Q$256,$R$4,'Seguimiento Julio 2024'!$H$12:$H$256,'estado terrenos '!$Q$5)</f>
        <v>0</v>
      </c>
      <c r="S11" s="1">
        <f>+COUNTIFS('Seguimiento Julio 2024'!$C$12:$C$262,'estado terrenos '!$A11,'Seguimiento Julio 2024'!$Q$12:$Q$262,'estado terrenos '!S$5,'Seguimiento Julio 2024'!$Q$12:$Q$262,S$4,'Seguimiento Julio 2024'!$H$12:$H$262,'estado terrenos '!$Q$5)</f>
        <v>0</v>
      </c>
      <c r="T11" s="1">
        <f>+COUNTIFS('Seguimiento Julio 2024'!$C$12:$C$262,'estado terrenos '!$A11,'Seguimiento Julio 2024'!$Q$12:$Q$262,'estado terrenos '!T$5,'Seguimiento Julio 2024'!$Q$12:$Q$262,T$4,'Seguimiento Julio 2024'!$H$12:$H$262,'estado terrenos '!$Q$5)</f>
        <v>0</v>
      </c>
      <c r="U11" s="1">
        <f>+COUNTIFS('Seguimiento Julio 2024'!$C$12:$C$262,'estado terrenos '!$A11,'Seguimiento Julio 2024'!$Q$12:$Q$262,'estado terrenos '!U$5,'Seguimiento Julio 2024'!$Q$12:$Q$262,U$4,'Seguimiento Julio 2024'!$H$12:$H$262,'estado terrenos '!$Q$5)</f>
        <v>0</v>
      </c>
      <c r="AH11" s="4"/>
    </row>
    <row r="12" spans="1:36" ht="21.95" customHeight="1" x14ac:dyDescent="0.35">
      <c r="A12" s="121" t="s">
        <v>32</v>
      </c>
      <c r="B12" s="239">
        <f>+COUNTIF('Seguimiento Julio 2024'!$C$12:$C$262,'estado terrenos '!A12)</f>
        <v>2</v>
      </c>
      <c r="C12" s="240">
        <f>+COUNTIFS('Seguimiento Julio 2024'!$C$12:$C$262,'estado terrenos '!A12,'Seguimiento Julio 2024'!$H$12:$H$262,$Z$4,'Seguimiento Julio 2024'!$Q$12:$Q$262,$AA$6)</f>
        <v>1</v>
      </c>
      <c r="D12" s="179">
        <f>+COUNTIFS('Seguimiento Julio 2024'!$C$12:$C$262,'estado terrenos '!A12,'Seguimiento Julio 2024'!$H$12:$H$262,$Z$5)+COUNTIFS('Seguimiento Julio 2024'!$C$12:$C$262,'estado terrenos '!A12,'Seguimiento Julio 2024'!$H$12:$H$262,$AA$5)+COUNTIFS('Seguimiento Julio 2024'!$C$12:$C$262,'estado terrenos '!A12,'Seguimiento Julio 2024'!$H$12:$H$262,$AB$5)+COUNTIFS('Seguimiento Julio 2024'!$C$12:$C$262,'estado terrenos '!A12,'Seguimiento Julio 2024'!$H$12:$H$262,$Z$6)+COUNTIFS('Seguimiento Julio 2024'!$C$12:$C$262,'estado terrenos '!A12,'Seguimiento Julio 2024'!$H$12:$H$262,$AA$4)+COUNTIFS('Seguimiento Julio 2024'!$C$12:$C$262,'estado terrenos '!A12,'Seguimiento Julio 2024'!$H$12:$H$262,$Y$4)</f>
        <v>0</v>
      </c>
      <c r="E12" s="178">
        <f>+COUNTIFS('Seguimiento Julio 2024'!$C$12:$C$262,'estado terrenos '!A12,'Seguimiento Julio 2024'!$H$12:$H$262,$AA$4)+COUNTIFS('Seguimiento Julio 2024'!$C$12:$C$262,'estado terrenos '!A12,'Seguimiento Julio 2024'!$H$12:$H$262,$Y$4)</f>
        <v>0</v>
      </c>
      <c r="F12" s="180">
        <f>+COUNTIFS('Seguimiento Julio 2024'!$C$12:$C$262,'estado terrenos '!A12,'Seguimiento Julio 2024'!$H$12:$H$262,$Z$5)+COUNTIFS('Seguimiento Julio 2024'!$C$12:$C$262,'estado terrenos '!A12,'Seguimiento Julio 2024'!$H$12:$H$262,$AA$5)+COUNTIFS('Seguimiento Julio 2024'!$C$12:$C$262,'estado terrenos '!A12,'Seguimiento Julio 2024'!$H$12:$H$262,$AB$5)+COUNTIFS('Seguimiento Julio 2024'!$C$12:$C$262,'estado terrenos '!A12,'Seguimiento Julio 2024'!$H$12:$H$262,$Z$6)</f>
        <v>0</v>
      </c>
      <c r="G12" s="179">
        <f>+COUNTIFS('Seguimiento Julio 2024'!$C$12:$C$262,'estado terrenos '!A12,'Seguimiento Julio 2024'!$H$12:$H$262,$AB$4)</f>
        <v>1</v>
      </c>
      <c r="H12" s="178">
        <f>+COUNTIFS('Seguimiento Julio 2024'!$C$12:$C$262,'estado terrenos '!A12,'Seguimiento Julio 2024'!$H$12:$H$262,'estado terrenos '!$AB$4,'Seguimiento Julio 2024'!$I$12:$I$262,$AF$4)</f>
        <v>0</v>
      </c>
      <c r="I12" s="178">
        <f>+COUNTIFS('Seguimiento Julio 2024'!$C$12:$C$262,'estado terrenos '!A12,'Seguimiento Julio 2024'!$H$12:$H$262,'estado terrenos '!$AB$4,'Seguimiento Julio 2024'!$I$12:$I$262,$AE$4)+COUNTIFS('Seguimiento Julio 2024'!$C$12:$C$262,'estado terrenos '!A12,'Seguimiento Julio 2024'!$H$12:$H$262,'estado terrenos '!$AB$4,'Seguimiento Julio 2024'!$I$12:$I$262,$AD$5)</f>
        <v>1</v>
      </c>
      <c r="J12" s="180">
        <f>+COUNTIFS('Seguimiento Julio 2024'!$C$12:$C$262,'estado terrenos '!A12,'Seguimiento Julio 2024'!$H$12:$H$262,'estado terrenos '!$AB$4,'Seguimiento Julio 2024'!$I$12:$I$262,$AD$4)+COUNTIFS('Seguimiento Julio 2024'!$C$12:$C$262,'estado terrenos '!A12,'Seguimiento Julio 2024'!$H$12:$H$262,'estado terrenos '!$AB$4,'Seguimiento Julio 2024'!$I$12:$I$262,'estado terrenos '!$AE$5)+COUNTIFS('Seguimiento Julio 2024'!$C$12:$C$262,'estado terrenos '!A12,'Seguimiento Julio 2024'!$H$12:$H$262,'estado terrenos '!$AB$4,'Seguimiento Julio 2024'!$I$12:$I$262,'estado terrenos '!$AF$5)</f>
        <v>0</v>
      </c>
      <c r="K12" s="221">
        <f t="shared" si="0"/>
        <v>0</v>
      </c>
      <c r="L12" s="269">
        <f t="shared" si="1"/>
        <v>0</v>
      </c>
      <c r="M12" s="269">
        <f t="shared" si="2"/>
        <v>0</v>
      </c>
      <c r="N12" s="329">
        <f t="shared" si="3"/>
        <v>0</v>
      </c>
      <c r="O12" s="221" t="e">
        <f>'Resumen Servicio operando PI'!B11</f>
        <v>#REF!</v>
      </c>
      <c r="P12" s="269" t="e">
        <f>'Resumen Servicio operando PI'!C11</f>
        <v>#REF!</v>
      </c>
      <c r="Q12" s="1"/>
      <c r="R12" s="1">
        <f>+COUNTIFS('Seguimiento Julio 2024'!$C$12:$C$256,'estado terrenos '!$A12,'Seguimiento Julio 2024'!$Q$12:$Q$256,'estado terrenos '!$R$5,'Seguimiento Julio 2024'!$Q$12:$Q$256,$R$4,'Seguimiento Julio 2024'!$H$12:$H$256,'estado terrenos '!$Q$5)</f>
        <v>0</v>
      </c>
      <c r="S12" s="1">
        <f>+COUNTIFS('Seguimiento Julio 2024'!$C$12:$C$262,'estado terrenos '!$A12,'Seguimiento Julio 2024'!$Q$12:$Q$262,'estado terrenos '!S$5,'Seguimiento Julio 2024'!$Q$12:$Q$262,S$4,'Seguimiento Julio 2024'!$H$12:$H$262,'estado terrenos '!$Q$5)</f>
        <v>0</v>
      </c>
      <c r="T12" s="1">
        <f>+COUNTIFS('Seguimiento Julio 2024'!$C$12:$C$262,'estado terrenos '!$A12,'Seguimiento Julio 2024'!$Q$12:$Q$262,'estado terrenos '!T$5,'Seguimiento Julio 2024'!$Q$12:$Q$262,T$4,'Seguimiento Julio 2024'!$H$12:$H$262,'estado terrenos '!$Q$5)</f>
        <v>0</v>
      </c>
      <c r="U12" s="1">
        <f>+COUNTIFS('Seguimiento Julio 2024'!$C$12:$C$262,'estado terrenos '!$A12,'Seguimiento Julio 2024'!$Q$12:$Q$262,'estado terrenos '!U$5,'Seguimiento Julio 2024'!$Q$12:$Q$262,U$4,'Seguimiento Julio 2024'!$H$12:$H$262,'estado terrenos '!$Q$5)</f>
        <v>0</v>
      </c>
      <c r="AH12" s="4"/>
    </row>
    <row r="13" spans="1:36" ht="21.95" customHeight="1" x14ac:dyDescent="0.35">
      <c r="A13" s="121" t="s">
        <v>66</v>
      </c>
      <c r="B13" s="239">
        <f>+COUNTIF('Seguimiento Julio 2024'!$C$12:$C$262,'estado terrenos '!A13)</f>
        <v>2</v>
      </c>
      <c r="C13" s="240">
        <f>+COUNTIFS('Seguimiento Julio 2024'!$C$12:$C$262,'estado terrenos '!A13,'Seguimiento Julio 2024'!$H$12:$H$262,$Z$4,'Seguimiento Julio 2024'!$Q$12:$Q$262,$AA$6)</f>
        <v>1</v>
      </c>
      <c r="D13" s="179">
        <f>+COUNTIFS('Seguimiento Julio 2024'!$C$12:$C$262,'estado terrenos '!A13,'Seguimiento Julio 2024'!$H$12:$H$262,$Z$5)+COUNTIFS('Seguimiento Julio 2024'!$C$12:$C$262,'estado terrenos '!A13,'Seguimiento Julio 2024'!$H$12:$H$262,$AA$5)+COUNTIFS('Seguimiento Julio 2024'!$C$12:$C$262,'estado terrenos '!A13,'Seguimiento Julio 2024'!$H$12:$H$262,$AB$5)+COUNTIFS('Seguimiento Julio 2024'!$C$12:$C$262,'estado terrenos '!A13,'Seguimiento Julio 2024'!$H$12:$H$262,$Z$6)+COUNTIFS('Seguimiento Julio 2024'!$C$12:$C$262,'estado terrenos '!A13,'Seguimiento Julio 2024'!$H$12:$H$262,$AA$4)+COUNTIFS('Seguimiento Julio 2024'!$C$12:$C$262,'estado terrenos '!A13,'Seguimiento Julio 2024'!$H$12:$H$262,$Y$4)</f>
        <v>1</v>
      </c>
      <c r="E13" s="178">
        <f>+COUNTIFS('Seguimiento Julio 2024'!$C$12:$C$262,'estado terrenos '!A13,'Seguimiento Julio 2024'!$H$12:$H$262,$AA$4)+COUNTIFS('Seguimiento Julio 2024'!$C$12:$C$262,'estado terrenos '!A13,'Seguimiento Julio 2024'!$H$12:$H$262,$Y$4)</f>
        <v>0</v>
      </c>
      <c r="F13" s="180">
        <f>+COUNTIFS('Seguimiento Julio 2024'!$C$12:$C$262,'estado terrenos '!A13,'Seguimiento Julio 2024'!$H$12:$H$262,$Z$5)+COUNTIFS('Seguimiento Julio 2024'!$C$12:$C$262,'estado terrenos '!A13,'Seguimiento Julio 2024'!$H$12:$H$262,$AA$5)+COUNTIFS('Seguimiento Julio 2024'!$C$12:$C$262,'estado terrenos '!A13,'Seguimiento Julio 2024'!$H$12:$H$262,$AB$5)+COUNTIFS('Seguimiento Julio 2024'!$C$12:$C$262,'estado terrenos '!A13,'Seguimiento Julio 2024'!$H$12:$H$262,$Z$6)</f>
        <v>1</v>
      </c>
      <c r="G13" s="179">
        <f>+COUNTIFS('Seguimiento Julio 2024'!$C$12:$C$262,'estado terrenos '!A13,'Seguimiento Julio 2024'!$H$12:$H$262,$AB$4)</f>
        <v>0</v>
      </c>
      <c r="H13" s="178">
        <f>+COUNTIFS('Seguimiento Julio 2024'!$C$12:$C$262,'estado terrenos '!A13,'Seguimiento Julio 2024'!$H$12:$H$262,'estado terrenos '!$AB$4,'Seguimiento Julio 2024'!$I$12:$I$262,$AF$4)</f>
        <v>0</v>
      </c>
      <c r="I13" s="178">
        <f>+COUNTIFS('Seguimiento Julio 2024'!$C$12:$C$262,'estado terrenos '!A13,'Seguimiento Julio 2024'!$H$12:$H$262,'estado terrenos '!$AB$4,'Seguimiento Julio 2024'!$I$12:$I$262,$AE$4)+COUNTIFS('Seguimiento Julio 2024'!$C$12:$C$262,'estado terrenos '!A13,'Seguimiento Julio 2024'!$H$12:$H$262,'estado terrenos '!$AB$4,'Seguimiento Julio 2024'!$I$12:$I$262,$AD$5)</f>
        <v>0</v>
      </c>
      <c r="J13" s="180">
        <f>+COUNTIFS('Seguimiento Julio 2024'!$C$12:$C$262,'estado terrenos '!A13,'Seguimiento Julio 2024'!$H$12:$H$262,'estado terrenos '!$AB$4,'Seguimiento Julio 2024'!$I$12:$I$262,$AD$4)+COUNTIFS('Seguimiento Julio 2024'!$C$12:$C$262,'estado terrenos '!A13,'Seguimiento Julio 2024'!$H$12:$H$262,'estado terrenos '!$AB$4,'Seguimiento Julio 2024'!$I$12:$I$262,'estado terrenos '!$AE$5)+COUNTIFS('Seguimiento Julio 2024'!$C$12:$C$262,'estado terrenos '!A13,'Seguimiento Julio 2024'!$H$12:$H$262,'estado terrenos '!$AB$4,'Seguimiento Julio 2024'!$I$12:$I$262,'estado terrenos '!$AF$5)</f>
        <v>0</v>
      </c>
      <c r="K13" s="221">
        <f t="shared" si="0"/>
        <v>0</v>
      </c>
      <c r="L13" s="269">
        <f t="shared" si="1"/>
        <v>0</v>
      </c>
      <c r="M13" s="269">
        <f t="shared" si="2"/>
        <v>0</v>
      </c>
      <c r="N13" s="329">
        <f t="shared" si="3"/>
        <v>0</v>
      </c>
      <c r="O13" s="221" t="e">
        <f>'Resumen Servicio operando PI'!B12</f>
        <v>#REF!</v>
      </c>
      <c r="P13" s="269" t="e">
        <f>'Resumen Servicio operando PI'!C12</f>
        <v>#REF!</v>
      </c>
      <c r="Q13" s="1"/>
      <c r="R13" s="1">
        <f>+COUNTIFS('Seguimiento Julio 2024'!$C$12:$C$256,'estado terrenos '!$A13,'Seguimiento Julio 2024'!$Q$12:$Q$256,'estado terrenos '!$R$5,'Seguimiento Julio 2024'!$Q$12:$Q$256,$R$4,'Seguimiento Julio 2024'!$H$12:$H$256,'estado terrenos '!$Q$5)</f>
        <v>0</v>
      </c>
      <c r="S13" s="1">
        <f>+COUNTIFS('Seguimiento Julio 2024'!$C$12:$C$262,'estado terrenos '!$A13,'Seguimiento Julio 2024'!$Q$12:$Q$262,'estado terrenos '!S$5,'Seguimiento Julio 2024'!$Q$12:$Q$262,S$4,'Seguimiento Julio 2024'!$H$12:$H$262,'estado terrenos '!$Q$5)</f>
        <v>0</v>
      </c>
      <c r="T13" s="1">
        <f>+COUNTIFS('Seguimiento Julio 2024'!$C$12:$C$262,'estado terrenos '!$A13,'Seguimiento Julio 2024'!$Q$12:$Q$262,'estado terrenos '!T$5,'Seguimiento Julio 2024'!$Q$12:$Q$262,T$4,'Seguimiento Julio 2024'!$H$12:$H$262,'estado terrenos '!$Q$5)</f>
        <v>0</v>
      </c>
      <c r="U13" s="1">
        <f>+COUNTIFS('Seguimiento Julio 2024'!$C$12:$C$262,'estado terrenos '!$A13,'Seguimiento Julio 2024'!$Q$12:$Q$262,'estado terrenos '!U$5,'Seguimiento Julio 2024'!$Q$12:$Q$262,U$4,'Seguimiento Julio 2024'!$H$12:$H$262,'estado terrenos '!$Q$5)</f>
        <v>0</v>
      </c>
      <c r="AH13" s="4"/>
    </row>
    <row r="14" spans="1:36" ht="21.95" customHeight="1" x14ac:dyDescent="0.35">
      <c r="A14" s="121" t="s">
        <v>34</v>
      </c>
      <c r="B14" s="239">
        <f>+COUNTIF('Seguimiento Julio 2024'!$C$12:$C$262,'estado terrenos '!A14)</f>
        <v>6</v>
      </c>
      <c r="C14" s="240">
        <f>+COUNTIFS('Seguimiento Julio 2024'!$C$12:$C$262,'estado terrenos '!A14,'Seguimiento Julio 2024'!$H$12:$H$262,$Z$4,'Seguimiento Julio 2024'!$Q$12:$Q$262,$AA$6)</f>
        <v>3</v>
      </c>
      <c r="D14" s="179">
        <f>+COUNTIFS('Seguimiento Julio 2024'!$C$12:$C$262,'estado terrenos '!A14,'Seguimiento Julio 2024'!$H$12:$H$262,$Z$5)+COUNTIFS('Seguimiento Julio 2024'!$C$12:$C$262,'estado terrenos '!A14,'Seguimiento Julio 2024'!$H$12:$H$262,$AA$5)+COUNTIFS('Seguimiento Julio 2024'!$C$12:$C$262,'estado terrenos '!A14,'Seguimiento Julio 2024'!$H$12:$H$262,$AB$5)+COUNTIFS('Seguimiento Julio 2024'!$C$12:$C$262,'estado terrenos '!A14,'Seguimiento Julio 2024'!$H$12:$H$262,$Z$6)+COUNTIFS('Seguimiento Julio 2024'!$C$12:$C$262,'estado terrenos '!A14,'Seguimiento Julio 2024'!$H$12:$H$262,$AA$4)+COUNTIFS('Seguimiento Julio 2024'!$C$12:$C$262,'estado terrenos '!A14,'Seguimiento Julio 2024'!$H$12:$H$262,$Y$4)</f>
        <v>2</v>
      </c>
      <c r="E14" s="178">
        <f>+COUNTIFS('Seguimiento Julio 2024'!$C$12:$C$262,'estado terrenos '!A14,'Seguimiento Julio 2024'!$H$12:$H$262,$AA$4)+COUNTIFS('Seguimiento Julio 2024'!$C$12:$C$262,'estado terrenos '!A14,'Seguimiento Julio 2024'!$H$12:$H$262,$Y$4)</f>
        <v>1</v>
      </c>
      <c r="F14" s="180">
        <f>+COUNTIFS('Seguimiento Julio 2024'!$C$12:$C$262,'estado terrenos '!A14,'Seguimiento Julio 2024'!$H$12:$H$262,$Z$5)+COUNTIFS('Seguimiento Julio 2024'!$C$12:$C$262,'estado terrenos '!A14,'Seguimiento Julio 2024'!$H$12:$H$262,$AA$5)+COUNTIFS('Seguimiento Julio 2024'!$C$12:$C$262,'estado terrenos '!A14,'Seguimiento Julio 2024'!$H$12:$H$262,$AB$5)+COUNTIFS('Seguimiento Julio 2024'!$C$12:$C$262,'estado terrenos '!A14,'Seguimiento Julio 2024'!$H$12:$H$262,$Z$6)</f>
        <v>1</v>
      </c>
      <c r="G14" s="179">
        <f>+COUNTIFS('Seguimiento Julio 2024'!$C$12:$C$262,'estado terrenos '!A14,'Seguimiento Julio 2024'!$H$12:$H$262,$AB$4)</f>
        <v>1</v>
      </c>
      <c r="H14" s="178">
        <f>+COUNTIFS('Seguimiento Julio 2024'!$C$12:$C$262,'estado terrenos '!A14,'Seguimiento Julio 2024'!$H$12:$H$262,'estado terrenos '!$AB$4,'Seguimiento Julio 2024'!$I$12:$I$262,$AF$4)</f>
        <v>0</v>
      </c>
      <c r="I14" s="178">
        <f>+COUNTIFS('Seguimiento Julio 2024'!$C$12:$C$262,'estado terrenos '!A14,'Seguimiento Julio 2024'!$H$12:$H$262,'estado terrenos '!$AB$4,'Seguimiento Julio 2024'!$I$12:$I$262,$AE$4)+COUNTIFS('Seguimiento Julio 2024'!$C$12:$C$262,'estado terrenos '!A14,'Seguimiento Julio 2024'!$H$12:$H$262,'estado terrenos '!$AB$4,'Seguimiento Julio 2024'!$I$12:$I$262,$AD$5)</f>
        <v>1</v>
      </c>
      <c r="J14" s="180">
        <f>+COUNTIFS('Seguimiento Julio 2024'!$C$12:$C$262,'estado terrenos '!A14,'Seguimiento Julio 2024'!$H$12:$H$262,'estado terrenos '!$AB$4,'Seguimiento Julio 2024'!$I$12:$I$262,$AD$4)+COUNTIFS('Seguimiento Julio 2024'!$C$12:$C$262,'estado terrenos '!A14,'Seguimiento Julio 2024'!$H$12:$H$262,'estado terrenos '!$AB$4,'Seguimiento Julio 2024'!$I$12:$I$262,'estado terrenos '!$AE$5)+COUNTIFS('Seguimiento Julio 2024'!$C$12:$C$262,'estado terrenos '!A14,'Seguimiento Julio 2024'!$H$12:$H$262,'estado terrenos '!$AB$4,'Seguimiento Julio 2024'!$I$12:$I$262,'estado terrenos '!$AF$5)</f>
        <v>0</v>
      </c>
      <c r="K14" s="221">
        <f t="shared" si="0"/>
        <v>0</v>
      </c>
      <c r="L14" s="269">
        <f t="shared" si="1"/>
        <v>0</v>
      </c>
      <c r="M14" s="269">
        <f t="shared" si="2"/>
        <v>0</v>
      </c>
      <c r="N14" s="329">
        <f t="shared" si="3"/>
        <v>0</v>
      </c>
      <c r="O14" s="221" t="e">
        <f>'Resumen Servicio operando PI'!B13</f>
        <v>#REF!</v>
      </c>
      <c r="P14" s="269" t="e">
        <f>'Resumen Servicio operando PI'!C13</f>
        <v>#REF!</v>
      </c>
      <c r="Q14" s="1"/>
      <c r="R14" s="1">
        <f>+COUNTIFS('Seguimiento Julio 2024'!$C$12:$C$256,'estado terrenos '!$A14,'Seguimiento Julio 2024'!$Q$12:$Q$256,'estado terrenos '!$R$5,'Seguimiento Julio 2024'!$Q$12:$Q$256,$R$4,'Seguimiento Julio 2024'!$H$12:$H$256,'estado terrenos '!$Q$5)</f>
        <v>0</v>
      </c>
      <c r="S14" s="1">
        <f>+COUNTIFS('Seguimiento Julio 2024'!$C$12:$C$262,'estado terrenos '!$A14,'Seguimiento Julio 2024'!$Q$12:$Q$262,'estado terrenos '!S$5,'Seguimiento Julio 2024'!$Q$12:$Q$262,S$4,'Seguimiento Julio 2024'!$H$12:$H$262,'estado terrenos '!$Q$5)</f>
        <v>0</v>
      </c>
      <c r="T14" s="1">
        <f>+COUNTIFS('Seguimiento Julio 2024'!$C$12:$C$262,'estado terrenos '!$A14,'Seguimiento Julio 2024'!$Q$12:$Q$262,'estado terrenos '!T$5,'Seguimiento Julio 2024'!$Q$12:$Q$262,T$4,'Seguimiento Julio 2024'!$H$12:$H$262,'estado terrenos '!$Q$5)</f>
        <v>0</v>
      </c>
      <c r="U14" s="1">
        <f>+COUNTIFS('Seguimiento Julio 2024'!$C$12:$C$262,'estado terrenos '!$A14,'Seguimiento Julio 2024'!$Q$12:$Q$262,'estado terrenos '!U$5,'Seguimiento Julio 2024'!$Q$12:$Q$262,U$4,'Seguimiento Julio 2024'!$H$12:$H$262,'estado terrenos '!$Q$5)</f>
        <v>0</v>
      </c>
      <c r="AH14" s="4"/>
    </row>
    <row r="15" spans="1:36" ht="21.95" customHeight="1" x14ac:dyDescent="0.35">
      <c r="A15" s="121" t="s">
        <v>35</v>
      </c>
      <c r="B15" s="239">
        <f>+COUNTIF('Seguimiento Julio 2024'!$C$12:$C$262,'estado terrenos '!A15)</f>
        <v>3</v>
      </c>
      <c r="C15" s="240">
        <f>+COUNTIFS('Seguimiento Julio 2024'!$C$12:$C$262,'estado terrenos '!A15,'Seguimiento Julio 2024'!$H$12:$H$262,$Z$4,'Seguimiento Julio 2024'!$Q$12:$Q$262,$AA$6)</f>
        <v>0</v>
      </c>
      <c r="D15" s="179">
        <f>+COUNTIFS('Seguimiento Julio 2024'!$C$12:$C$262,'estado terrenos '!A15,'Seguimiento Julio 2024'!$H$12:$H$262,$Z$5)+COUNTIFS('Seguimiento Julio 2024'!$C$12:$C$262,'estado terrenos '!A15,'Seguimiento Julio 2024'!$H$12:$H$262,$AA$5)+COUNTIFS('Seguimiento Julio 2024'!$C$12:$C$262,'estado terrenos '!A15,'Seguimiento Julio 2024'!$H$12:$H$262,$AB$5)+COUNTIFS('Seguimiento Julio 2024'!$C$12:$C$262,'estado terrenos '!A15,'Seguimiento Julio 2024'!$H$12:$H$262,$Z$6)+COUNTIFS('Seguimiento Julio 2024'!$C$12:$C$262,'estado terrenos '!A15,'Seguimiento Julio 2024'!$H$12:$H$262,$AA$4)+COUNTIFS('Seguimiento Julio 2024'!$C$12:$C$262,'estado terrenos '!A15,'Seguimiento Julio 2024'!$H$12:$H$262,$Y$4)</f>
        <v>3</v>
      </c>
      <c r="E15" s="178">
        <f>+COUNTIFS('Seguimiento Julio 2024'!$C$12:$C$262,'estado terrenos '!A15,'Seguimiento Julio 2024'!$H$12:$H$262,$AA$4)+COUNTIFS('Seguimiento Julio 2024'!$C$12:$C$262,'estado terrenos '!A15,'Seguimiento Julio 2024'!$H$12:$H$262,$Y$4)</f>
        <v>1</v>
      </c>
      <c r="F15" s="180">
        <f>+COUNTIFS('Seguimiento Julio 2024'!$C$12:$C$262,'estado terrenos '!A15,'Seguimiento Julio 2024'!$H$12:$H$262,$Z$5)+COUNTIFS('Seguimiento Julio 2024'!$C$12:$C$262,'estado terrenos '!A15,'Seguimiento Julio 2024'!$H$12:$H$262,$AA$5)+COUNTIFS('Seguimiento Julio 2024'!$C$12:$C$262,'estado terrenos '!A15,'Seguimiento Julio 2024'!$H$12:$H$262,$AB$5)+COUNTIFS('Seguimiento Julio 2024'!$C$12:$C$262,'estado terrenos '!A15,'Seguimiento Julio 2024'!$H$12:$H$262,$Z$6)</f>
        <v>2</v>
      </c>
      <c r="G15" s="179">
        <f>+COUNTIFS('Seguimiento Julio 2024'!$C$12:$C$262,'estado terrenos '!A15,'Seguimiento Julio 2024'!$H$12:$H$262,$AB$4)</f>
        <v>0</v>
      </c>
      <c r="H15" s="178">
        <f>+COUNTIFS('Seguimiento Julio 2024'!$C$12:$C$262,'estado terrenos '!A15,'Seguimiento Julio 2024'!$H$12:$H$262,'estado terrenos '!$AB$4,'Seguimiento Julio 2024'!$I$12:$I$262,$AF$4)</f>
        <v>0</v>
      </c>
      <c r="I15" s="178">
        <f>+COUNTIFS('Seguimiento Julio 2024'!$C$12:$C$262,'estado terrenos '!A15,'Seguimiento Julio 2024'!$H$12:$H$262,'estado terrenos '!$AB$4,'Seguimiento Julio 2024'!$I$12:$I$262,$AE$4)+COUNTIFS('Seguimiento Julio 2024'!$C$12:$C$262,'estado terrenos '!A15,'Seguimiento Julio 2024'!$H$12:$H$262,'estado terrenos '!$AB$4,'Seguimiento Julio 2024'!$I$12:$I$262,$AD$5)</f>
        <v>0</v>
      </c>
      <c r="J15" s="180">
        <f>+COUNTIFS('Seguimiento Julio 2024'!$C$12:$C$262,'estado terrenos '!A15,'Seguimiento Julio 2024'!$H$12:$H$262,'estado terrenos '!$AB$4,'Seguimiento Julio 2024'!$I$12:$I$262,$AD$4)+COUNTIFS('Seguimiento Julio 2024'!$C$12:$C$262,'estado terrenos '!A15,'Seguimiento Julio 2024'!$H$12:$H$262,'estado terrenos '!$AB$4,'Seguimiento Julio 2024'!$I$12:$I$262,'estado terrenos '!$AE$5)+COUNTIFS('Seguimiento Julio 2024'!$C$12:$C$262,'estado terrenos '!A15,'Seguimiento Julio 2024'!$H$12:$H$262,'estado terrenos '!$AB$4,'Seguimiento Julio 2024'!$I$12:$I$262,'estado terrenos '!$AF$5)</f>
        <v>0</v>
      </c>
      <c r="K15" s="221">
        <f t="shared" si="0"/>
        <v>0</v>
      </c>
      <c r="L15" s="269">
        <f t="shared" si="1"/>
        <v>0</v>
      </c>
      <c r="M15" s="269">
        <f t="shared" si="2"/>
        <v>0</v>
      </c>
      <c r="N15" s="329">
        <f t="shared" si="3"/>
        <v>0</v>
      </c>
      <c r="O15" s="221" t="e">
        <f>'Resumen Servicio operando PI'!B14</f>
        <v>#REF!</v>
      </c>
      <c r="P15" s="269" t="e">
        <f>'Resumen Servicio operando PI'!C14</f>
        <v>#REF!</v>
      </c>
      <c r="Q15" s="1"/>
      <c r="R15" s="1">
        <f>+COUNTIFS('Seguimiento Julio 2024'!$C$12:$C$256,'estado terrenos '!$A15,'Seguimiento Julio 2024'!$Q$12:$Q$256,'estado terrenos '!$R$5,'Seguimiento Julio 2024'!$Q$12:$Q$256,$R$4,'Seguimiento Julio 2024'!$H$12:$H$256,'estado terrenos '!$Q$5)</f>
        <v>0</v>
      </c>
      <c r="S15" s="1">
        <f>+COUNTIFS('Seguimiento Julio 2024'!$C$12:$C$262,'estado terrenos '!$A15,'Seguimiento Julio 2024'!$Q$12:$Q$262,'estado terrenos '!S$5,'Seguimiento Julio 2024'!$Q$12:$Q$262,S$4,'Seguimiento Julio 2024'!$H$12:$H$262,'estado terrenos '!$Q$5)</f>
        <v>0</v>
      </c>
      <c r="T15" s="1">
        <f>+COUNTIFS('Seguimiento Julio 2024'!$C$12:$C$262,'estado terrenos '!$A15,'Seguimiento Julio 2024'!$Q$12:$Q$262,'estado terrenos '!T$5,'Seguimiento Julio 2024'!$Q$12:$Q$262,T$4,'Seguimiento Julio 2024'!$H$12:$H$262,'estado terrenos '!$Q$5)</f>
        <v>0</v>
      </c>
      <c r="U15" s="1">
        <f>+COUNTIFS('Seguimiento Julio 2024'!$C$12:$C$262,'estado terrenos '!$A15,'Seguimiento Julio 2024'!$Q$12:$Q$262,'estado terrenos '!U$5,'Seguimiento Julio 2024'!$Q$12:$Q$262,U$4,'Seguimiento Julio 2024'!$H$12:$H$262,'estado terrenos '!$Q$5)</f>
        <v>0</v>
      </c>
      <c r="Z15" s="4"/>
    </row>
    <row r="16" spans="1:36" ht="21.95" customHeight="1" x14ac:dyDescent="0.35">
      <c r="A16" s="121" t="s">
        <v>36</v>
      </c>
      <c r="B16" s="239">
        <f>+COUNTIF('Seguimiento Julio 2024'!$C$12:$C$262,'estado terrenos '!A16)</f>
        <v>3</v>
      </c>
      <c r="C16" s="240">
        <f>+COUNTIFS('Seguimiento Julio 2024'!$C$12:$C$262,'estado terrenos '!A16,'Seguimiento Julio 2024'!$H$12:$H$262,$Z$4,'Seguimiento Julio 2024'!$Q$12:$Q$262,$AA$6)</f>
        <v>1</v>
      </c>
      <c r="D16" s="179">
        <f>+COUNTIFS('Seguimiento Julio 2024'!$C$12:$C$262,'estado terrenos '!A16,'Seguimiento Julio 2024'!$H$12:$H$262,$Z$5)+COUNTIFS('Seguimiento Julio 2024'!$C$12:$C$262,'estado terrenos '!A16,'Seguimiento Julio 2024'!$H$12:$H$262,$AA$5)+COUNTIFS('Seguimiento Julio 2024'!$C$12:$C$262,'estado terrenos '!A16,'Seguimiento Julio 2024'!$H$12:$H$262,$AB$5)+COUNTIFS('Seguimiento Julio 2024'!$C$12:$C$262,'estado terrenos '!A16,'Seguimiento Julio 2024'!$H$12:$H$262,$Z$6)+COUNTIFS('Seguimiento Julio 2024'!$C$12:$C$262,'estado terrenos '!A16,'Seguimiento Julio 2024'!$H$12:$H$262,$AA$4)+COUNTIFS('Seguimiento Julio 2024'!$C$12:$C$262,'estado terrenos '!A16,'Seguimiento Julio 2024'!$H$12:$H$262,$Y$4)</f>
        <v>1</v>
      </c>
      <c r="E16" s="178">
        <f>+COUNTIFS('Seguimiento Julio 2024'!$C$12:$C$262,'estado terrenos '!A16,'Seguimiento Julio 2024'!$H$12:$H$262,$AA$4)+COUNTIFS('Seguimiento Julio 2024'!$C$12:$C$262,'estado terrenos '!A16,'Seguimiento Julio 2024'!$H$12:$H$262,$Y$4)</f>
        <v>0</v>
      </c>
      <c r="F16" s="180">
        <f>+COUNTIFS('Seguimiento Julio 2024'!$C$12:$C$262,'estado terrenos '!A16,'Seguimiento Julio 2024'!$H$12:$H$262,$Z$5)+COUNTIFS('Seguimiento Julio 2024'!$C$12:$C$262,'estado terrenos '!A16,'Seguimiento Julio 2024'!$H$12:$H$262,$AA$5)+COUNTIFS('Seguimiento Julio 2024'!$C$12:$C$262,'estado terrenos '!A16,'Seguimiento Julio 2024'!$H$12:$H$262,$AB$5)+COUNTIFS('Seguimiento Julio 2024'!$C$12:$C$262,'estado terrenos '!A16,'Seguimiento Julio 2024'!$H$12:$H$262,$Z$6)</f>
        <v>1</v>
      </c>
      <c r="G16" s="179">
        <f>+COUNTIFS('Seguimiento Julio 2024'!$C$12:$C$262,'estado terrenos '!A16,'Seguimiento Julio 2024'!$H$12:$H$262,$AB$4)</f>
        <v>1</v>
      </c>
      <c r="H16" s="178">
        <f>+COUNTIFS('Seguimiento Julio 2024'!$C$12:$C$262,'estado terrenos '!A16,'Seguimiento Julio 2024'!$H$12:$H$262,'estado terrenos '!$AB$4,'Seguimiento Julio 2024'!$I$12:$I$262,$AF$4)</f>
        <v>0</v>
      </c>
      <c r="I16" s="178">
        <f>+COUNTIFS('Seguimiento Julio 2024'!$C$12:$C$262,'estado terrenos '!A16,'Seguimiento Julio 2024'!$H$12:$H$262,'estado terrenos '!$AB$4,'Seguimiento Julio 2024'!$I$12:$I$262,$AE$4)+COUNTIFS('Seguimiento Julio 2024'!$C$12:$C$262,'estado terrenos '!A16,'Seguimiento Julio 2024'!$H$12:$H$262,'estado terrenos '!$AB$4,'Seguimiento Julio 2024'!$I$12:$I$262,$AD$5)</f>
        <v>1</v>
      </c>
      <c r="J16" s="180">
        <f>+COUNTIFS('Seguimiento Julio 2024'!$C$12:$C$262,'estado terrenos '!A16,'Seguimiento Julio 2024'!$H$12:$H$262,'estado terrenos '!$AB$4,'Seguimiento Julio 2024'!$I$12:$I$262,$AD$4)+COUNTIFS('Seguimiento Julio 2024'!$C$12:$C$262,'estado terrenos '!A16,'Seguimiento Julio 2024'!$H$12:$H$262,'estado terrenos '!$AB$4,'Seguimiento Julio 2024'!$I$12:$I$262,'estado terrenos '!$AE$5)+COUNTIFS('Seguimiento Julio 2024'!$C$12:$C$262,'estado terrenos '!A16,'Seguimiento Julio 2024'!$H$12:$H$262,'estado terrenos '!$AB$4,'Seguimiento Julio 2024'!$I$12:$I$262,'estado terrenos '!$AF$5)</f>
        <v>0</v>
      </c>
      <c r="K16" s="221">
        <f t="shared" si="0"/>
        <v>0</v>
      </c>
      <c r="L16" s="269">
        <f t="shared" si="1"/>
        <v>0</v>
      </c>
      <c r="M16" s="269">
        <f t="shared" si="2"/>
        <v>0</v>
      </c>
      <c r="N16" s="329">
        <f t="shared" si="3"/>
        <v>0</v>
      </c>
      <c r="O16" s="221" t="e">
        <f>'Resumen Servicio operando PI'!B15</f>
        <v>#REF!</v>
      </c>
      <c r="P16" s="269" t="e">
        <f>'Resumen Servicio operando PI'!C15</f>
        <v>#REF!</v>
      </c>
      <c r="Q16" s="1"/>
      <c r="R16" s="1">
        <f>+COUNTIFS('Seguimiento Julio 2024'!$C$12:$C$256,'estado terrenos '!$A16,'Seguimiento Julio 2024'!$Q$12:$Q$256,'estado terrenos '!$R$5,'Seguimiento Julio 2024'!$Q$12:$Q$256,$R$4,'Seguimiento Julio 2024'!$H$12:$H$256,'estado terrenos '!$Q$5)</f>
        <v>0</v>
      </c>
      <c r="S16" s="1">
        <f>+COUNTIFS('Seguimiento Julio 2024'!$C$12:$C$262,'estado terrenos '!$A16,'Seguimiento Julio 2024'!$Q$12:$Q$262,'estado terrenos '!S$5,'Seguimiento Julio 2024'!$Q$12:$Q$262,S$4,'Seguimiento Julio 2024'!$H$12:$H$262,'estado terrenos '!$Q$5)</f>
        <v>0</v>
      </c>
      <c r="T16" s="1">
        <f>+COUNTIFS('Seguimiento Julio 2024'!$C$12:$C$262,'estado terrenos '!$A16,'Seguimiento Julio 2024'!$Q$12:$Q$262,'estado terrenos '!T$5,'Seguimiento Julio 2024'!$Q$12:$Q$262,T$4,'Seguimiento Julio 2024'!$H$12:$H$262,'estado terrenos '!$Q$5)</f>
        <v>0</v>
      </c>
      <c r="U16" s="1">
        <f>+COUNTIFS('Seguimiento Julio 2024'!$C$12:$C$262,'estado terrenos '!$A16,'Seguimiento Julio 2024'!$Q$12:$Q$262,'estado terrenos '!U$5,'Seguimiento Julio 2024'!$Q$12:$Q$262,U$4,'Seguimiento Julio 2024'!$H$12:$H$262,'estado terrenos '!$Q$5)</f>
        <v>0</v>
      </c>
    </row>
    <row r="17" spans="1:21" ht="21.95" customHeight="1" x14ac:dyDescent="0.35">
      <c r="A17" s="121" t="s">
        <v>37</v>
      </c>
      <c r="B17" s="239">
        <f>+COUNTIF('Seguimiento Julio 2024'!$C$12:$C$262,'estado terrenos '!A17)</f>
        <v>4</v>
      </c>
      <c r="C17" s="240">
        <f>+COUNTIFS('Seguimiento Julio 2024'!$C$12:$C$262,'estado terrenos '!A17,'Seguimiento Julio 2024'!$H$12:$H$262,$Z$4,'Seguimiento Julio 2024'!$Q$12:$Q$262,$AA$6)</f>
        <v>2</v>
      </c>
      <c r="D17" s="179">
        <f>+COUNTIFS('Seguimiento Julio 2024'!$C$12:$C$262,'estado terrenos '!A17,'Seguimiento Julio 2024'!$H$12:$H$262,$Z$5)+COUNTIFS('Seguimiento Julio 2024'!$C$12:$C$262,'estado terrenos '!A17,'Seguimiento Julio 2024'!$H$12:$H$262,$AA$5)+COUNTIFS('Seguimiento Julio 2024'!$C$12:$C$262,'estado terrenos '!A17,'Seguimiento Julio 2024'!$H$12:$H$262,$AB$5)+COUNTIFS('Seguimiento Julio 2024'!$C$12:$C$262,'estado terrenos '!A17,'Seguimiento Julio 2024'!$H$12:$H$262,$Z$6)+COUNTIFS('Seguimiento Julio 2024'!$C$12:$C$262,'estado terrenos '!A17,'Seguimiento Julio 2024'!$H$12:$H$262,$AA$4)+COUNTIFS('Seguimiento Julio 2024'!$C$12:$C$262,'estado terrenos '!A17,'Seguimiento Julio 2024'!$H$12:$H$262,$Y$4)</f>
        <v>2</v>
      </c>
      <c r="E17" s="178">
        <f>+COUNTIFS('Seguimiento Julio 2024'!$C$12:$C$262,'estado terrenos '!A17,'Seguimiento Julio 2024'!$H$12:$H$262,$AA$4)+COUNTIFS('Seguimiento Julio 2024'!$C$12:$C$262,'estado terrenos '!A17,'Seguimiento Julio 2024'!$H$12:$H$262,$Y$4)</f>
        <v>1</v>
      </c>
      <c r="F17" s="180">
        <f>+COUNTIFS('Seguimiento Julio 2024'!$C$12:$C$262,'estado terrenos '!A17,'Seguimiento Julio 2024'!$H$12:$H$262,$Z$5)+COUNTIFS('Seguimiento Julio 2024'!$C$12:$C$262,'estado terrenos '!A17,'Seguimiento Julio 2024'!$H$12:$H$262,$AA$5)+COUNTIFS('Seguimiento Julio 2024'!$C$12:$C$262,'estado terrenos '!A17,'Seguimiento Julio 2024'!$H$12:$H$262,$AB$5)+COUNTIFS('Seguimiento Julio 2024'!$C$12:$C$262,'estado terrenos '!A17,'Seguimiento Julio 2024'!$H$12:$H$262,$Z$6)</f>
        <v>1</v>
      </c>
      <c r="G17" s="179">
        <f>+COUNTIFS('Seguimiento Julio 2024'!$C$12:$C$262,'estado terrenos '!A17,'Seguimiento Julio 2024'!$H$12:$H$262,$AB$4)</f>
        <v>0</v>
      </c>
      <c r="H17" s="178">
        <f>+COUNTIFS('Seguimiento Julio 2024'!$C$12:$C$262,'estado terrenos '!A17,'Seguimiento Julio 2024'!$H$12:$H$262,'estado terrenos '!$AB$4,'Seguimiento Julio 2024'!$I$12:$I$262,$AF$4)</f>
        <v>0</v>
      </c>
      <c r="I17" s="178">
        <f>+COUNTIFS('Seguimiento Julio 2024'!$C$12:$C$262,'estado terrenos '!A17,'Seguimiento Julio 2024'!$H$12:$H$262,'estado terrenos '!$AB$4,'Seguimiento Julio 2024'!$I$12:$I$262,$AE$4)+COUNTIFS('Seguimiento Julio 2024'!$C$12:$C$262,'estado terrenos '!A17,'Seguimiento Julio 2024'!$H$12:$H$262,'estado terrenos '!$AB$4,'Seguimiento Julio 2024'!$I$12:$I$262,$AD$5)</f>
        <v>0</v>
      </c>
      <c r="J17" s="180">
        <f>+COUNTIFS('Seguimiento Julio 2024'!$C$12:$C$262,'estado terrenos '!A17,'Seguimiento Julio 2024'!$H$12:$H$262,'estado terrenos '!$AB$4,'Seguimiento Julio 2024'!$I$12:$I$262,$AD$4)+COUNTIFS('Seguimiento Julio 2024'!$C$12:$C$262,'estado terrenos '!A17,'Seguimiento Julio 2024'!$H$12:$H$262,'estado terrenos '!$AB$4,'Seguimiento Julio 2024'!$I$12:$I$262,'estado terrenos '!$AE$5)+COUNTIFS('Seguimiento Julio 2024'!$C$12:$C$262,'estado terrenos '!A17,'Seguimiento Julio 2024'!$H$12:$H$262,'estado terrenos '!$AB$4,'Seguimiento Julio 2024'!$I$12:$I$262,'estado terrenos '!$AF$5)</f>
        <v>0</v>
      </c>
      <c r="K17" s="221">
        <f t="shared" si="0"/>
        <v>0</v>
      </c>
      <c r="L17" s="269">
        <f t="shared" si="1"/>
        <v>0</v>
      </c>
      <c r="M17" s="269">
        <f t="shared" si="2"/>
        <v>0</v>
      </c>
      <c r="N17" s="329">
        <f t="shared" si="3"/>
        <v>0</v>
      </c>
      <c r="O17" s="221" t="e">
        <f>'Resumen Servicio operando PI'!B16</f>
        <v>#REF!</v>
      </c>
      <c r="P17" s="269" t="e">
        <f>'Resumen Servicio operando PI'!C16</f>
        <v>#REF!</v>
      </c>
      <c r="Q17" s="1"/>
      <c r="R17" s="1">
        <f>+COUNTIFS('Seguimiento Julio 2024'!$C$12:$C$256,'estado terrenos '!$A17,'Seguimiento Julio 2024'!$Q$12:$Q$256,'estado terrenos '!$R$5,'Seguimiento Julio 2024'!$Q$12:$Q$256,$R$4,'Seguimiento Julio 2024'!$H$12:$H$256,'estado terrenos '!$Q$5)</f>
        <v>0</v>
      </c>
      <c r="S17" s="1">
        <f>+COUNTIFS('Seguimiento Julio 2024'!$C$12:$C$262,'estado terrenos '!$A17,'Seguimiento Julio 2024'!$Q$12:$Q$262,'estado terrenos '!S$5,'Seguimiento Julio 2024'!$Q$12:$Q$262,S$4,'Seguimiento Julio 2024'!$H$12:$H$262,'estado terrenos '!$Q$5)</f>
        <v>0</v>
      </c>
      <c r="T17" s="1">
        <f>+COUNTIFS('Seguimiento Julio 2024'!$C$12:$C$262,'estado terrenos '!$A17,'Seguimiento Julio 2024'!$Q$12:$Q$262,'estado terrenos '!T$5,'Seguimiento Julio 2024'!$Q$12:$Q$262,T$4,'Seguimiento Julio 2024'!$H$12:$H$262,'estado terrenos '!$Q$5)</f>
        <v>0</v>
      </c>
      <c r="U17" s="1">
        <f>+COUNTIFS('Seguimiento Julio 2024'!$C$12:$C$262,'estado terrenos '!$A17,'Seguimiento Julio 2024'!$Q$12:$Q$262,'estado terrenos '!U$5,'Seguimiento Julio 2024'!$Q$12:$Q$262,U$4,'Seguimiento Julio 2024'!$H$12:$H$262,'estado terrenos '!$Q$5)</f>
        <v>0</v>
      </c>
    </row>
    <row r="18" spans="1:21" ht="21.95" customHeight="1" x14ac:dyDescent="0.35">
      <c r="A18" s="121" t="s">
        <v>38</v>
      </c>
      <c r="B18" s="239">
        <f>+COUNTIF('Seguimiento Julio 2024'!$C$12:$C$262,'estado terrenos '!A18)</f>
        <v>8</v>
      </c>
      <c r="C18" s="240">
        <f>+COUNTIFS('Seguimiento Julio 2024'!$C$12:$C$262,'estado terrenos '!A18,'Seguimiento Julio 2024'!$H$12:$H$262,$Z$4,'Seguimiento Julio 2024'!$Q$12:$Q$262,$AA$6)</f>
        <v>5</v>
      </c>
      <c r="D18" s="179">
        <f>+COUNTIFS('Seguimiento Julio 2024'!$C$12:$C$262,'estado terrenos '!A18,'Seguimiento Julio 2024'!$H$12:$H$262,$Z$5)+COUNTIFS('Seguimiento Julio 2024'!$C$12:$C$262,'estado terrenos '!A18,'Seguimiento Julio 2024'!$H$12:$H$262,$AA$5)+COUNTIFS('Seguimiento Julio 2024'!$C$12:$C$262,'estado terrenos '!A18,'Seguimiento Julio 2024'!$H$12:$H$262,$AB$5)+COUNTIFS('Seguimiento Julio 2024'!$C$12:$C$262,'estado terrenos '!A18,'Seguimiento Julio 2024'!$H$12:$H$262,$Z$6)+COUNTIFS('Seguimiento Julio 2024'!$C$12:$C$262,'estado terrenos '!A18,'Seguimiento Julio 2024'!$H$12:$H$262,$AA$4)+COUNTIFS('Seguimiento Julio 2024'!$C$12:$C$262,'estado terrenos '!A18,'Seguimiento Julio 2024'!$H$12:$H$262,$Y$4)</f>
        <v>3</v>
      </c>
      <c r="E18" s="178">
        <f>+COUNTIFS('Seguimiento Julio 2024'!$C$12:$C$262,'estado terrenos '!A18,'Seguimiento Julio 2024'!$H$12:$H$262,$AA$4)+COUNTIFS('Seguimiento Julio 2024'!$C$12:$C$262,'estado terrenos '!A18,'Seguimiento Julio 2024'!$H$12:$H$262,$Y$4)</f>
        <v>0</v>
      </c>
      <c r="F18" s="180">
        <f>+COUNTIFS('Seguimiento Julio 2024'!$C$12:$C$262,'estado terrenos '!A18,'Seguimiento Julio 2024'!$H$12:$H$262,$Z$5)+COUNTIFS('Seguimiento Julio 2024'!$C$12:$C$262,'estado terrenos '!A18,'Seguimiento Julio 2024'!$H$12:$H$262,$AA$5)+COUNTIFS('Seguimiento Julio 2024'!$C$12:$C$262,'estado terrenos '!A18,'Seguimiento Julio 2024'!$H$12:$H$262,$AB$5)+COUNTIFS('Seguimiento Julio 2024'!$C$12:$C$262,'estado terrenos '!A18,'Seguimiento Julio 2024'!$H$12:$H$262,$Z$6)</f>
        <v>3</v>
      </c>
      <c r="G18" s="179">
        <f>+COUNTIFS('Seguimiento Julio 2024'!$C$12:$C$262,'estado terrenos '!A18,'Seguimiento Julio 2024'!$H$12:$H$262,$AB$4)</f>
        <v>0</v>
      </c>
      <c r="H18" s="178">
        <f>+COUNTIFS('Seguimiento Julio 2024'!$C$12:$C$262,'estado terrenos '!A18,'Seguimiento Julio 2024'!$H$12:$H$262,'estado terrenos '!$AB$4,'Seguimiento Julio 2024'!$I$12:$I$262,$AF$4)</f>
        <v>0</v>
      </c>
      <c r="I18" s="178">
        <f>+COUNTIFS('Seguimiento Julio 2024'!$C$12:$C$262,'estado terrenos '!A18,'Seguimiento Julio 2024'!$H$12:$H$262,'estado terrenos '!$AB$4,'Seguimiento Julio 2024'!$I$12:$I$262,$AE$4)+COUNTIFS('Seguimiento Julio 2024'!$C$12:$C$262,'estado terrenos '!A18,'Seguimiento Julio 2024'!$H$12:$H$262,'estado terrenos '!$AB$4,'Seguimiento Julio 2024'!$I$12:$I$262,$AD$5)</f>
        <v>0</v>
      </c>
      <c r="J18" s="180">
        <f>+COUNTIFS('Seguimiento Julio 2024'!$C$12:$C$262,'estado terrenos '!A18,'Seguimiento Julio 2024'!$H$12:$H$262,'estado terrenos '!$AB$4,'Seguimiento Julio 2024'!$I$12:$I$262,$AD$4)+COUNTIFS('Seguimiento Julio 2024'!$C$12:$C$262,'estado terrenos '!A18,'Seguimiento Julio 2024'!$H$12:$H$262,'estado terrenos '!$AB$4,'Seguimiento Julio 2024'!$I$12:$I$262,'estado terrenos '!$AE$5)+COUNTIFS('Seguimiento Julio 2024'!$C$12:$C$262,'estado terrenos '!A18,'Seguimiento Julio 2024'!$H$12:$H$262,'estado terrenos '!$AB$4,'Seguimiento Julio 2024'!$I$12:$I$262,'estado terrenos '!$AF$5)</f>
        <v>0</v>
      </c>
      <c r="K18" s="221">
        <f t="shared" si="0"/>
        <v>0</v>
      </c>
      <c r="L18" s="269">
        <f t="shared" si="1"/>
        <v>0</v>
      </c>
      <c r="M18" s="269">
        <f t="shared" si="2"/>
        <v>0</v>
      </c>
      <c r="N18" s="329">
        <f t="shared" si="3"/>
        <v>0</v>
      </c>
      <c r="O18" s="221" t="e">
        <f>'Resumen Servicio operando PI'!B17</f>
        <v>#REF!</v>
      </c>
      <c r="P18" s="269" t="e">
        <f>'Resumen Servicio operando PI'!C17</f>
        <v>#REF!</v>
      </c>
      <c r="Q18" s="1"/>
      <c r="R18" s="1">
        <f>+COUNTIFS('Seguimiento Julio 2024'!$C$12:$C$256,'estado terrenos '!$A18,'Seguimiento Julio 2024'!$Q$12:$Q$256,'estado terrenos '!$R$5,'Seguimiento Julio 2024'!$Q$12:$Q$256,$R$4,'Seguimiento Julio 2024'!$H$12:$H$256,'estado terrenos '!$Q$5)</f>
        <v>0</v>
      </c>
      <c r="S18" s="1">
        <f>+COUNTIFS('Seguimiento Julio 2024'!$C$12:$C$262,'estado terrenos '!$A18,'Seguimiento Julio 2024'!$Q$12:$Q$262,'estado terrenos '!S$5,'Seguimiento Julio 2024'!$Q$12:$Q$262,S$4,'Seguimiento Julio 2024'!$H$12:$H$262,'estado terrenos '!$Q$5)</f>
        <v>0</v>
      </c>
      <c r="T18" s="1">
        <f>+COUNTIFS('Seguimiento Julio 2024'!$C$12:$C$262,'estado terrenos '!$A18,'Seguimiento Julio 2024'!$Q$12:$Q$262,'estado terrenos '!T$5,'Seguimiento Julio 2024'!$Q$12:$Q$262,T$4,'Seguimiento Julio 2024'!$H$12:$H$262,'estado terrenos '!$Q$5)</f>
        <v>0</v>
      </c>
      <c r="U18" s="1">
        <f>+COUNTIFS('Seguimiento Julio 2024'!$C$12:$C$262,'estado terrenos '!$A18,'Seguimiento Julio 2024'!$Q$12:$Q$262,'estado terrenos '!U$5,'Seguimiento Julio 2024'!$Q$12:$Q$262,U$4,'Seguimiento Julio 2024'!$H$12:$H$262,'estado terrenos '!$Q$5)</f>
        <v>0</v>
      </c>
    </row>
    <row r="19" spans="1:21" ht="21.95" customHeight="1" x14ac:dyDescent="0.35">
      <c r="A19" s="121" t="s">
        <v>39</v>
      </c>
      <c r="B19" s="239">
        <f>+COUNTIF('Seguimiento Julio 2024'!$C$12:$C$262,'estado terrenos '!A19)</f>
        <v>7</v>
      </c>
      <c r="C19" s="240">
        <f>+COUNTIFS('Seguimiento Julio 2024'!$C$12:$C$262,'estado terrenos '!A19,'Seguimiento Julio 2024'!$H$12:$H$262,$Z$4,'Seguimiento Julio 2024'!$Q$12:$Q$262,$AA$6)</f>
        <v>4</v>
      </c>
      <c r="D19" s="179">
        <f>+COUNTIFS('Seguimiento Julio 2024'!$C$12:$C$262,'estado terrenos '!A19,'Seguimiento Julio 2024'!$H$12:$H$262,$Z$5)+COUNTIFS('Seguimiento Julio 2024'!$C$12:$C$262,'estado terrenos '!A19,'Seguimiento Julio 2024'!$H$12:$H$262,$AA$5)+COUNTIFS('Seguimiento Julio 2024'!$C$12:$C$262,'estado terrenos '!A19,'Seguimiento Julio 2024'!$H$12:$H$262,$AB$5)+COUNTIFS('Seguimiento Julio 2024'!$C$12:$C$262,'estado terrenos '!A19,'Seguimiento Julio 2024'!$H$12:$H$262,$Z$6)+COUNTIFS('Seguimiento Julio 2024'!$C$12:$C$262,'estado terrenos '!A19,'Seguimiento Julio 2024'!$H$12:$H$262,$AA$4)+COUNTIFS('Seguimiento Julio 2024'!$C$12:$C$262,'estado terrenos '!A19,'Seguimiento Julio 2024'!$H$12:$H$262,$Y$4)</f>
        <v>3</v>
      </c>
      <c r="E19" s="178">
        <f>+COUNTIFS('Seguimiento Julio 2024'!$C$12:$C$262,'estado terrenos '!A19,'Seguimiento Julio 2024'!$H$12:$H$262,$AA$4)+COUNTIFS('Seguimiento Julio 2024'!$C$12:$C$262,'estado terrenos '!A19,'Seguimiento Julio 2024'!$H$12:$H$262,$Y$4)</f>
        <v>0</v>
      </c>
      <c r="F19" s="180">
        <f>+COUNTIFS('Seguimiento Julio 2024'!$C$12:$C$262,'estado terrenos '!A19,'Seguimiento Julio 2024'!$H$12:$H$262,$Z$5)+COUNTIFS('Seguimiento Julio 2024'!$C$12:$C$262,'estado terrenos '!A19,'Seguimiento Julio 2024'!$H$12:$H$262,$AA$5)+COUNTIFS('Seguimiento Julio 2024'!$C$12:$C$262,'estado terrenos '!A19,'Seguimiento Julio 2024'!$H$12:$H$262,$AB$5)+COUNTIFS('Seguimiento Julio 2024'!$C$12:$C$262,'estado terrenos '!A19,'Seguimiento Julio 2024'!$H$12:$H$262,$Z$6)</f>
        <v>3</v>
      </c>
      <c r="G19" s="179">
        <f>+COUNTIFS('Seguimiento Julio 2024'!$C$12:$C$262,'estado terrenos '!A19,'Seguimiento Julio 2024'!$H$12:$H$262,$AB$4)</f>
        <v>0</v>
      </c>
      <c r="H19" s="178">
        <f>+COUNTIFS('Seguimiento Julio 2024'!$C$12:$C$262,'estado terrenos '!A19,'Seguimiento Julio 2024'!$H$12:$H$262,'estado terrenos '!$AB$4,'Seguimiento Julio 2024'!$I$12:$I$262,$AF$4)</f>
        <v>0</v>
      </c>
      <c r="I19" s="178">
        <f>+COUNTIFS('Seguimiento Julio 2024'!$C$12:$C$262,'estado terrenos '!A19,'Seguimiento Julio 2024'!$H$12:$H$262,'estado terrenos '!$AB$4,'Seguimiento Julio 2024'!$I$12:$I$262,$AE$4)+COUNTIFS('Seguimiento Julio 2024'!$C$12:$C$262,'estado terrenos '!A19,'Seguimiento Julio 2024'!$H$12:$H$262,'estado terrenos '!$AB$4,'Seguimiento Julio 2024'!$I$12:$I$262,$AD$5)</f>
        <v>0</v>
      </c>
      <c r="J19" s="180">
        <f>+COUNTIFS('Seguimiento Julio 2024'!$C$12:$C$262,'estado terrenos '!A19,'Seguimiento Julio 2024'!$H$12:$H$262,'estado terrenos '!$AB$4,'Seguimiento Julio 2024'!$I$12:$I$262,$AD$4)+COUNTIFS('Seguimiento Julio 2024'!$C$12:$C$262,'estado terrenos '!A19,'Seguimiento Julio 2024'!$H$12:$H$262,'estado terrenos '!$AB$4,'Seguimiento Julio 2024'!$I$12:$I$262,'estado terrenos '!$AE$5)+COUNTIFS('Seguimiento Julio 2024'!$C$12:$C$262,'estado terrenos '!A19,'Seguimiento Julio 2024'!$H$12:$H$262,'estado terrenos '!$AB$4,'Seguimiento Julio 2024'!$I$12:$I$262,'estado terrenos '!$AF$5)</f>
        <v>0</v>
      </c>
      <c r="K19" s="221">
        <f t="shared" si="0"/>
        <v>0</v>
      </c>
      <c r="L19" s="269">
        <f t="shared" si="1"/>
        <v>0</v>
      </c>
      <c r="M19" s="269">
        <f t="shared" si="2"/>
        <v>0</v>
      </c>
      <c r="N19" s="329">
        <f t="shared" si="3"/>
        <v>0</v>
      </c>
      <c r="O19" s="221" t="e">
        <f>'Resumen Servicio operando PI'!B18</f>
        <v>#REF!</v>
      </c>
      <c r="P19" s="269" t="e">
        <f>'Resumen Servicio operando PI'!C18</f>
        <v>#REF!</v>
      </c>
      <c r="Q19" s="1"/>
      <c r="R19" s="1">
        <f>+COUNTIFS('Seguimiento Julio 2024'!$C$12:$C$256,'estado terrenos '!$A19,'Seguimiento Julio 2024'!$Q$12:$Q$256,'estado terrenos '!$R$5,'Seguimiento Julio 2024'!$Q$12:$Q$256,$R$4,'Seguimiento Julio 2024'!$H$12:$H$256,'estado terrenos '!$Q$5)</f>
        <v>0</v>
      </c>
      <c r="S19" s="1">
        <f>+COUNTIFS('Seguimiento Julio 2024'!$C$12:$C$262,'estado terrenos '!$A19,'Seguimiento Julio 2024'!$Q$12:$Q$262,'estado terrenos '!S$5,'Seguimiento Julio 2024'!$Q$12:$Q$262,S$4,'Seguimiento Julio 2024'!$H$12:$H$262,'estado terrenos '!$Q$5)</f>
        <v>0</v>
      </c>
      <c r="T19" s="1">
        <f>+COUNTIFS('Seguimiento Julio 2024'!$C$12:$C$262,'estado terrenos '!$A19,'Seguimiento Julio 2024'!$Q$12:$Q$262,'estado terrenos '!T$5,'Seguimiento Julio 2024'!$Q$12:$Q$262,T$4,'Seguimiento Julio 2024'!$H$12:$H$262,'estado terrenos '!$Q$5)</f>
        <v>0</v>
      </c>
      <c r="U19" s="1">
        <f>+COUNTIFS('Seguimiento Julio 2024'!$C$12:$C$262,'estado terrenos '!$A19,'Seguimiento Julio 2024'!$Q$12:$Q$262,'estado terrenos '!U$5,'Seguimiento Julio 2024'!$Q$12:$Q$262,U$4,'Seguimiento Julio 2024'!$H$12:$H$262,'estado terrenos '!$Q$5)</f>
        <v>0</v>
      </c>
    </row>
    <row r="20" spans="1:21" ht="21.95" customHeight="1" x14ac:dyDescent="0.35">
      <c r="A20" s="121" t="s">
        <v>40</v>
      </c>
      <c r="B20" s="239">
        <f>+COUNTIF('Seguimiento Julio 2024'!$C$12:$C$262,'estado terrenos '!A20)</f>
        <v>9</v>
      </c>
      <c r="C20" s="240">
        <f>+COUNTIFS('Seguimiento Julio 2024'!$C$12:$C$262,'estado terrenos '!A20,'Seguimiento Julio 2024'!$H$12:$H$262,$Z$4,'Seguimiento Julio 2024'!$Q$12:$Q$262,$AA$6)</f>
        <v>3</v>
      </c>
      <c r="D20" s="179">
        <f>+COUNTIFS('Seguimiento Julio 2024'!$C$12:$C$262,'estado terrenos '!A20,'Seguimiento Julio 2024'!$H$12:$H$262,$Z$5)+COUNTIFS('Seguimiento Julio 2024'!$C$12:$C$262,'estado terrenos '!A20,'Seguimiento Julio 2024'!$H$12:$H$262,$AA$5)+COUNTIFS('Seguimiento Julio 2024'!$C$12:$C$262,'estado terrenos '!A20,'Seguimiento Julio 2024'!$H$12:$H$262,$AB$5)+COUNTIFS('Seguimiento Julio 2024'!$C$12:$C$262,'estado terrenos '!A20,'Seguimiento Julio 2024'!$H$12:$H$262,$Z$6)+COUNTIFS('Seguimiento Julio 2024'!$C$12:$C$262,'estado terrenos '!A20,'Seguimiento Julio 2024'!$H$12:$H$262,$AA$4)+COUNTIFS('Seguimiento Julio 2024'!$C$12:$C$262,'estado terrenos '!A20,'Seguimiento Julio 2024'!$H$12:$H$262,$Y$4)</f>
        <v>4</v>
      </c>
      <c r="E20" s="178">
        <f>+COUNTIFS('Seguimiento Julio 2024'!$C$12:$C$262,'estado terrenos '!A20,'Seguimiento Julio 2024'!$H$12:$H$262,$AA$4)+COUNTIFS('Seguimiento Julio 2024'!$C$12:$C$262,'estado terrenos '!A20,'Seguimiento Julio 2024'!$H$12:$H$262,$Y$4)</f>
        <v>0</v>
      </c>
      <c r="F20" s="180">
        <f>+COUNTIFS('Seguimiento Julio 2024'!$C$12:$C$262,'estado terrenos '!A20,'Seguimiento Julio 2024'!$H$12:$H$262,$Z$5)+COUNTIFS('Seguimiento Julio 2024'!$C$12:$C$262,'estado terrenos '!A20,'Seguimiento Julio 2024'!$H$12:$H$262,$AA$5)+COUNTIFS('Seguimiento Julio 2024'!$C$12:$C$262,'estado terrenos '!A20,'Seguimiento Julio 2024'!$H$12:$H$262,$AB$5)+COUNTIFS('Seguimiento Julio 2024'!$C$12:$C$262,'estado terrenos '!A20,'Seguimiento Julio 2024'!$H$12:$H$262,$Z$6)</f>
        <v>4</v>
      </c>
      <c r="G20" s="179">
        <f>+COUNTIFS('Seguimiento Julio 2024'!$C$12:$C$262,'estado terrenos '!A20,'Seguimiento Julio 2024'!$H$12:$H$262,$AB$4)</f>
        <v>2</v>
      </c>
      <c r="H20" s="178">
        <f>+COUNTIFS('Seguimiento Julio 2024'!$C$12:$C$262,'estado terrenos '!A20,'Seguimiento Julio 2024'!$H$12:$H$262,'estado terrenos '!$AB$4,'Seguimiento Julio 2024'!$I$12:$I$262,$AF$4)</f>
        <v>0</v>
      </c>
      <c r="I20" s="178">
        <f>+COUNTIFS('Seguimiento Julio 2024'!$C$12:$C$262,'estado terrenos '!A20,'Seguimiento Julio 2024'!$H$12:$H$262,'estado terrenos '!$AB$4,'Seguimiento Julio 2024'!$I$12:$I$262,$AE$4)+COUNTIFS('Seguimiento Julio 2024'!$C$12:$C$262,'estado terrenos '!A20,'Seguimiento Julio 2024'!$H$12:$H$262,'estado terrenos '!$AB$4,'Seguimiento Julio 2024'!$I$12:$I$262,$AD$5)</f>
        <v>2</v>
      </c>
      <c r="J20" s="180">
        <f>+COUNTIFS('Seguimiento Julio 2024'!$C$12:$C$262,'estado terrenos '!A20,'Seguimiento Julio 2024'!$H$12:$H$262,'estado terrenos '!$AB$4,'Seguimiento Julio 2024'!$I$12:$I$262,$AD$4)+COUNTIFS('Seguimiento Julio 2024'!$C$12:$C$262,'estado terrenos '!A20,'Seguimiento Julio 2024'!$H$12:$H$262,'estado terrenos '!$AB$4,'Seguimiento Julio 2024'!$I$12:$I$262,'estado terrenos '!$AE$5)+COUNTIFS('Seguimiento Julio 2024'!$C$12:$C$262,'estado terrenos '!A20,'Seguimiento Julio 2024'!$H$12:$H$262,'estado terrenos '!$AB$4,'Seguimiento Julio 2024'!$I$12:$I$262,'estado terrenos '!$AF$5)</f>
        <v>0</v>
      </c>
      <c r="K20" s="221">
        <f>R20</f>
        <v>0</v>
      </c>
      <c r="L20" s="269">
        <f t="shared" si="1"/>
        <v>0</v>
      </c>
      <c r="M20" s="269">
        <f t="shared" si="2"/>
        <v>0</v>
      </c>
      <c r="N20" s="329">
        <f t="shared" si="3"/>
        <v>0</v>
      </c>
      <c r="O20" s="221" t="e">
        <f>'Resumen Servicio operando PI'!B19</f>
        <v>#REF!</v>
      </c>
      <c r="P20" s="269" t="e">
        <f>'Resumen Servicio operando PI'!C19</f>
        <v>#REF!</v>
      </c>
      <c r="Q20" s="1"/>
      <c r="R20" s="1">
        <f>+COUNTIFS('Seguimiento Julio 2024'!$C$12:$C$256,'estado terrenos '!$A20,'Seguimiento Julio 2024'!$Q$12:$Q$256,'estado terrenos '!$R$5,'Seguimiento Julio 2024'!$Q$12:$Q$256,$R$4,'Seguimiento Julio 2024'!$H$12:$H$256,'estado terrenos '!$Q$5)</f>
        <v>0</v>
      </c>
      <c r="S20" s="1">
        <f>+COUNTIFS('Seguimiento Julio 2024'!$C$12:$C$262,'estado terrenos '!$A20,'Seguimiento Julio 2024'!$Q$12:$Q$262,'estado terrenos '!S$5,'Seguimiento Julio 2024'!$Q$12:$Q$262,S$4,'Seguimiento Julio 2024'!$H$12:$H$262,'estado terrenos '!$Q$5)</f>
        <v>0</v>
      </c>
      <c r="T20" s="1">
        <f>+COUNTIFS('Seguimiento Julio 2024'!$C$12:$C$262,'estado terrenos '!$A20,'Seguimiento Julio 2024'!$Q$12:$Q$262,'estado terrenos '!T$5,'Seguimiento Julio 2024'!$Q$12:$Q$262,T$4,'Seguimiento Julio 2024'!$H$12:$H$262,'estado terrenos '!$Q$5)</f>
        <v>0</v>
      </c>
      <c r="U20" s="1">
        <f>+COUNTIFS('Seguimiento Julio 2024'!$C$12:$C$262,'estado terrenos '!$A20,'Seguimiento Julio 2024'!$Q$12:$Q$262,'estado terrenos '!U$5,'Seguimiento Julio 2024'!$Q$12:$Q$262,U$4,'Seguimiento Julio 2024'!$H$12:$H$262,'estado terrenos '!$Q$5)</f>
        <v>0</v>
      </c>
    </row>
    <row r="21" spans="1:21" ht="21.95" customHeight="1" x14ac:dyDescent="0.35">
      <c r="A21" s="121" t="s">
        <v>68</v>
      </c>
      <c r="B21" s="239">
        <f>+COUNTIF('Seguimiento Julio 2024'!$C$12:$C$262,'estado terrenos '!A21)</f>
        <v>3</v>
      </c>
      <c r="C21" s="240">
        <f>+COUNTIFS('Seguimiento Julio 2024'!$C$12:$C$262,'estado terrenos '!A21,'Seguimiento Julio 2024'!$H$12:$H$262,$Z$4,'Seguimiento Julio 2024'!$Q$12:$Q$262,$AA$6)</f>
        <v>2</v>
      </c>
      <c r="D21" s="179">
        <f>+COUNTIFS('Seguimiento Julio 2024'!$C$12:$C$262,'estado terrenos '!A21,'Seguimiento Julio 2024'!$H$12:$H$262,$Z$5)+COUNTIFS('Seguimiento Julio 2024'!$C$12:$C$262,'estado terrenos '!A21,'Seguimiento Julio 2024'!$H$12:$H$262,$AA$5)+COUNTIFS('Seguimiento Julio 2024'!$C$12:$C$262,'estado terrenos '!A21,'Seguimiento Julio 2024'!$H$12:$H$262,$AB$5)+COUNTIFS('Seguimiento Julio 2024'!$C$12:$C$262,'estado terrenos '!A21,'Seguimiento Julio 2024'!$H$12:$H$262,$Z$6)+COUNTIFS('Seguimiento Julio 2024'!$C$12:$C$262,'estado terrenos '!A21,'Seguimiento Julio 2024'!$H$12:$H$262,$AA$4)+COUNTIFS('Seguimiento Julio 2024'!$C$12:$C$262,'estado terrenos '!A21,'Seguimiento Julio 2024'!$H$12:$H$262,$Y$4)</f>
        <v>1</v>
      </c>
      <c r="E21" s="178">
        <f>+COUNTIFS('Seguimiento Julio 2024'!$C$12:$C$262,'estado terrenos '!A21,'Seguimiento Julio 2024'!$H$12:$H$262,$AA$4)+COUNTIFS('Seguimiento Julio 2024'!$C$12:$C$262,'estado terrenos '!A21,'Seguimiento Julio 2024'!$H$12:$H$262,$Y$4)</f>
        <v>1</v>
      </c>
      <c r="F21" s="180">
        <f>+COUNTIFS('Seguimiento Julio 2024'!$C$12:$C$262,'estado terrenos '!A21,'Seguimiento Julio 2024'!$H$12:$H$262,$Z$5)+COUNTIFS('Seguimiento Julio 2024'!$C$12:$C$262,'estado terrenos '!A21,'Seguimiento Julio 2024'!$H$12:$H$262,$AA$5)+COUNTIFS('Seguimiento Julio 2024'!$C$12:$C$262,'estado terrenos '!A21,'Seguimiento Julio 2024'!$H$12:$H$262,$AB$5)+COUNTIFS('Seguimiento Julio 2024'!$C$12:$C$262,'estado terrenos '!A21,'Seguimiento Julio 2024'!$H$12:$H$262,$Z$6)</f>
        <v>0</v>
      </c>
      <c r="G21" s="179">
        <f>+COUNTIFS('Seguimiento Julio 2024'!$C$12:$C$262,'estado terrenos '!A21,'Seguimiento Julio 2024'!$H$12:$H$262,$AB$4)</f>
        <v>0</v>
      </c>
      <c r="H21" s="178">
        <f>+COUNTIFS('Seguimiento Julio 2024'!$C$12:$C$262,'estado terrenos '!A21,'Seguimiento Julio 2024'!$H$12:$H$262,'estado terrenos '!$AB$4,'Seguimiento Julio 2024'!$I$12:$I$262,$AF$4)</f>
        <v>0</v>
      </c>
      <c r="I21" s="178">
        <f>+COUNTIFS('Seguimiento Julio 2024'!$C$12:$C$262,'estado terrenos '!A21,'Seguimiento Julio 2024'!$H$12:$H$262,'estado terrenos '!$AB$4,'Seguimiento Julio 2024'!$I$12:$I$262,$AE$4)+COUNTIFS('Seguimiento Julio 2024'!$C$12:$C$262,'estado terrenos '!A21,'Seguimiento Julio 2024'!$H$12:$H$262,'estado terrenos '!$AB$4,'Seguimiento Julio 2024'!$I$12:$I$262,$AD$5)</f>
        <v>0</v>
      </c>
      <c r="J21" s="180">
        <f>+COUNTIFS('Seguimiento Julio 2024'!$C$12:$C$262,'estado terrenos '!A21,'Seguimiento Julio 2024'!$H$12:$H$262,'estado terrenos '!$AB$4,'Seguimiento Julio 2024'!$I$12:$I$262,$AD$4)+COUNTIFS('Seguimiento Julio 2024'!$C$12:$C$262,'estado terrenos '!A21,'Seguimiento Julio 2024'!$H$12:$H$262,'estado terrenos '!$AB$4,'Seguimiento Julio 2024'!$I$12:$I$262,'estado terrenos '!$AE$5)+COUNTIFS('Seguimiento Julio 2024'!$C$12:$C$262,'estado terrenos '!A21,'Seguimiento Julio 2024'!$H$12:$H$262,'estado terrenos '!$AB$4,'Seguimiento Julio 2024'!$I$12:$I$262,'estado terrenos '!$AF$5)</f>
        <v>0</v>
      </c>
      <c r="K21" s="221">
        <f t="shared" si="0"/>
        <v>0</v>
      </c>
      <c r="L21" s="269">
        <f t="shared" si="1"/>
        <v>0</v>
      </c>
      <c r="M21" s="269">
        <f t="shared" si="2"/>
        <v>0</v>
      </c>
      <c r="N21" s="329">
        <f t="shared" si="3"/>
        <v>0</v>
      </c>
      <c r="O21" s="221" t="e">
        <f>'Resumen Servicio operando PI'!B20</f>
        <v>#REF!</v>
      </c>
      <c r="P21" s="269" t="e">
        <f>'Resumen Servicio operando PI'!C20</f>
        <v>#REF!</v>
      </c>
      <c r="Q21" s="1"/>
      <c r="R21" s="1">
        <f>+COUNTIFS('Seguimiento Julio 2024'!$C$12:$C$256,'estado terrenos '!$A21,'Seguimiento Julio 2024'!$Q$12:$Q$256,'estado terrenos '!$R$5,'Seguimiento Julio 2024'!$Q$12:$Q$256,$R$4,'Seguimiento Julio 2024'!$H$12:$H$256,'estado terrenos '!$Q$5)</f>
        <v>0</v>
      </c>
      <c r="S21" s="1">
        <f>+COUNTIFS('Seguimiento Julio 2024'!$C$12:$C$262,'estado terrenos '!$A21,'Seguimiento Julio 2024'!$Q$12:$Q$262,'estado terrenos '!S$5,'Seguimiento Julio 2024'!$Q$12:$Q$262,S$4,'Seguimiento Julio 2024'!$H$12:$H$262,'estado terrenos '!$Q$5)</f>
        <v>0</v>
      </c>
      <c r="T21" s="1">
        <f>+COUNTIFS('Seguimiento Julio 2024'!$C$12:$C$262,'estado terrenos '!$A21,'Seguimiento Julio 2024'!$Q$12:$Q$262,'estado terrenos '!T$5,'Seguimiento Julio 2024'!$Q$12:$Q$262,T$4,'Seguimiento Julio 2024'!$H$12:$H$262,'estado terrenos '!$Q$5)</f>
        <v>0</v>
      </c>
      <c r="U21" s="1">
        <f>+COUNTIFS('Seguimiento Julio 2024'!$C$12:$C$262,'estado terrenos '!$A21,'Seguimiento Julio 2024'!$Q$12:$Q$262,'estado terrenos '!U$5,'Seguimiento Julio 2024'!$Q$12:$Q$262,U$4,'Seguimiento Julio 2024'!$H$12:$H$262,'estado terrenos '!$Q$5)</f>
        <v>0</v>
      </c>
    </row>
    <row r="22" spans="1:21" ht="21.95" customHeight="1" x14ac:dyDescent="0.35">
      <c r="A22" s="121" t="s">
        <v>42</v>
      </c>
      <c r="B22" s="239">
        <f>+COUNTIF('Seguimiento Julio 2024'!$C$12:$C$262,'estado terrenos '!A22)</f>
        <v>3</v>
      </c>
      <c r="C22" s="240">
        <f>+COUNTIFS('Seguimiento Julio 2024'!$C$12:$C$262,'estado terrenos '!A22,'Seguimiento Julio 2024'!$H$12:$H$262,$Z$4,'Seguimiento Julio 2024'!$Q$12:$Q$262,$AA$6)</f>
        <v>1</v>
      </c>
      <c r="D22" s="179">
        <f>+COUNTIFS('Seguimiento Julio 2024'!$C$12:$C$262,'estado terrenos '!A22,'Seguimiento Julio 2024'!$H$12:$H$262,$Z$5)+COUNTIFS('Seguimiento Julio 2024'!$C$12:$C$262,'estado terrenos '!A22,'Seguimiento Julio 2024'!$H$12:$H$262,$AA$5)+COUNTIFS('Seguimiento Julio 2024'!$C$12:$C$262,'estado terrenos '!A22,'Seguimiento Julio 2024'!$H$12:$H$262,$AB$5)+COUNTIFS('Seguimiento Julio 2024'!$C$12:$C$262,'estado terrenos '!A22,'Seguimiento Julio 2024'!$H$12:$H$262,$Z$6)+COUNTIFS('Seguimiento Julio 2024'!$C$12:$C$262,'estado terrenos '!A22,'Seguimiento Julio 2024'!$H$12:$H$262,$AA$4)+COUNTIFS('Seguimiento Julio 2024'!$C$12:$C$262,'estado terrenos '!A22,'Seguimiento Julio 2024'!$H$12:$H$262,$Y$4)</f>
        <v>1</v>
      </c>
      <c r="E22" s="178">
        <f>+COUNTIFS('Seguimiento Julio 2024'!$C$12:$C$262,'estado terrenos '!A22,'Seguimiento Julio 2024'!$H$12:$H$262,$AA$4)+COUNTIFS('Seguimiento Julio 2024'!$C$12:$C$262,'estado terrenos '!A22,'Seguimiento Julio 2024'!$H$12:$H$262,$Y$4)</f>
        <v>0</v>
      </c>
      <c r="F22" s="180">
        <f>+COUNTIFS('Seguimiento Julio 2024'!$C$12:$C$262,'estado terrenos '!A22,'Seguimiento Julio 2024'!$H$12:$H$262,$Z$5)+COUNTIFS('Seguimiento Julio 2024'!$C$12:$C$262,'estado terrenos '!A22,'Seguimiento Julio 2024'!$H$12:$H$262,$AA$5)+COUNTIFS('Seguimiento Julio 2024'!$C$12:$C$262,'estado terrenos '!A22,'Seguimiento Julio 2024'!$H$12:$H$262,$AB$5)+COUNTIFS('Seguimiento Julio 2024'!$C$12:$C$262,'estado terrenos '!A22,'Seguimiento Julio 2024'!$H$12:$H$262,$Z$6)</f>
        <v>1</v>
      </c>
      <c r="G22" s="179">
        <f>+COUNTIFS('Seguimiento Julio 2024'!$C$12:$C$262,'estado terrenos '!A22,'Seguimiento Julio 2024'!$H$12:$H$262,$AB$4)</f>
        <v>1</v>
      </c>
      <c r="H22" s="178">
        <f>+COUNTIFS('Seguimiento Julio 2024'!$C$12:$C$262,'estado terrenos '!A22,'Seguimiento Julio 2024'!$H$12:$H$262,'estado terrenos '!$AB$4,'Seguimiento Julio 2024'!$I$12:$I$262,$AF$4)</f>
        <v>0</v>
      </c>
      <c r="I22" s="178">
        <f>+COUNTIFS('Seguimiento Julio 2024'!$C$12:$C$262,'estado terrenos '!A22,'Seguimiento Julio 2024'!$H$12:$H$262,'estado terrenos '!$AB$4,'Seguimiento Julio 2024'!$I$12:$I$262,$AE$4)+COUNTIFS('Seguimiento Julio 2024'!$C$12:$C$262,'estado terrenos '!A22,'Seguimiento Julio 2024'!$H$12:$H$262,'estado terrenos '!$AB$4,'Seguimiento Julio 2024'!$I$12:$I$262,$AD$5)</f>
        <v>0</v>
      </c>
      <c r="J22" s="180">
        <f>+COUNTIFS('Seguimiento Julio 2024'!$C$12:$C$262,'estado terrenos '!A22,'Seguimiento Julio 2024'!$H$12:$H$262,'estado terrenos '!$AB$4,'Seguimiento Julio 2024'!$I$12:$I$262,$AD$4)+COUNTIFS('Seguimiento Julio 2024'!$C$12:$C$262,'estado terrenos '!A22,'Seguimiento Julio 2024'!$H$12:$H$262,'estado terrenos '!$AB$4,'Seguimiento Julio 2024'!$I$12:$I$262,'estado terrenos '!$AE$5)+COUNTIFS('Seguimiento Julio 2024'!$C$12:$C$262,'estado terrenos '!A22,'Seguimiento Julio 2024'!$H$12:$H$262,'estado terrenos '!$AB$4,'Seguimiento Julio 2024'!$I$12:$I$262,'estado terrenos '!$AF$5)</f>
        <v>1</v>
      </c>
      <c r="K22" s="221">
        <f t="shared" si="0"/>
        <v>0</v>
      </c>
      <c r="L22" s="269">
        <f t="shared" si="1"/>
        <v>0</v>
      </c>
      <c r="M22" s="269">
        <f t="shared" si="2"/>
        <v>0</v>
      </c>
      <c r="N22" s="329">
        <f t="shared" si="3"/>
        <v>0</v>
      </c>
      <c r="O22" s="221" t="e">
        <f>'Resumen Servicio operando PI'!B21</f>
        <v>#REF!</v>
      </c>
      <c r="P22" s="269" t="e">
        <f>'Resumen Servicio operando PI'!C21</f>
        <v>#REF!</v>
      </c>
      <c r="Q22" s="1"/>
      <c r="R22" s="1">
        <f>+COUNTIFS('Seguimiento Julio 2024'!$C$12:$C$256,'estado terrenos '!$A22,'Seguimiento Julio 2024'!$Q$12:$Q$256,'estado terrenos '!$R$5,'Seguimiento Julio 2024'!$Q$12:$Q$256,$R$4,'Seguimiento Julio 2024'!$H$12:$H$256,'estado terrenos '!$Q$5)</f>
        <v>0</v>
      </c>
      <c r="S22" s="1">
        <f>+COUNTIFS('Seguimiento Julio 2024'!$C$12:$C$262,'estado terrenos '!$A22,'Seguimiento Julio 2024'!$Q$12:$Q$262,'estado terrenos '!S$5,'Seguimiento Julio 2024'!$Q$12:$Q$262,S$4,'Seguimiento Julio 2024'!$H$12:$H$262,'estado terrenos '!$Q$5)</f>
        <v>0</v>
      </c>
      <c r="T22" s="1">
        <f>+COUNTIFS('Seguimiento Julio 2024'!$C$12:$C$262,'estado terrenos '!$A22,'Seguimiento Julio 2024'!$Q$12:$Q$262,'estado terrenos '!T$5,'Seguimiento Julio 2024'!$Q$12:$Q$262,T$4,'Seguimiento Julio 2024'!$H$12:$H$262,'estado terrenos '!$Q$5)</f>
        <v>0</v>
      </c>
      <c r="U22" s="1">
        <f>+COUNTIFS('Seguimiento Julio 2024'!$C$12:$C$262,'estado terrenos '!$A22,'Seguimiento Julio 2024'!$Q$12:$Q$262,'estado terrenos '!U$5,'Seguimiento Julio 2024'!$Q$12:$Q$262,U$4,'Seguimiento Julio 2024'!$H$12:$H$262,'estado terrenos '!$Q$5)</f>
        <v>0</v>
      </c>
    </row>
    <row r="23" spans="1:21" ht="21.95" customHeight="1" x14ac:dyDescent="0.35">
      <c r="A23" s="121" t="s">
        <v>43</v>
      </c>
      <c r="B23" s="239">
        <f>+COUNTIF('Seguimiento Julio 2024'!$C$12:$C$262,'estado terrenos '!A23)</f>
        <v>4</v>
      </c>
      <c r="C23" s="240">
        <f>+COUNTIFS('Seguimiento Julio 2024'!$C$12:$C$262,'estado terrenos '!A23,'Seguimiento Julio 2024'!$H$12:$H$262,$Z$4,'Seguimiento Julio 2024'!$Q$12:$Q$262,$AA$6)</f>
        <v>0</v>
      </c>
      <c r="D23" s="179">
        <f>+COUNTIFS('Seguimiento Julio 2024'!$C$12:$C$262,'estado terrenos '!A23,'Seguimiento Julio 2024'!$H$12:$H$262,$Z$5)+COUNTIFS('Seguimiento Julio 2024'!$C$12:$C$262,'estado terrenos '!A23,'Seguimiento Julio 2024'!$H$12:$H$262,$AA$5)+COUNTIFS('Seguimiento Julio 2024'!$C$12:$C$262,'estado terrenos '!A23,'Seguimiento Julio 2024'!$H$12:$H$262,$AB$5)+COUNTIFS('Seguimiento Julio 2024'!$C$12:$C$262,'estado terrenos '!A23,'Seguimiento Julio 2024'!$H$12:$H$262,$Z$6)+COUNTIFS('Seguimiento Julio 2024'!$C$12:$C$262,'estado terrenos '!A23,'Seguimiento Julio 2024'!$H$12:$H$262,$AA$4)+COUNTIFS('Seguimiento Julio 2024'!$C$12:$C$262,'estado terrenos '!A23,'Seguimiento Julio 2024'!$H$12:$H$262,$Y$4)</f>
        <v>3</v>
      </c>
      <c r="E23" s="178">
        <f>+COUNTIFS('Seguimiento Julio 2024'!$C$12:$C$262,'estado terrenos '!A23,'Seguimiento Julio 2024'!$H$12:$H$262,$AA$4)+COUNTIFS('Seguimiento Julio 2024'!$C$12:$C$262,'estado terrenos '!A23,'Seguimiento Julio 2024'!$H$12:$H$262,$Y$4)</f>
        <v>0</v>
      </c>
      <c r="F23" s="180">
        <f>+COUNTIFS('Seguimiento Julio 2024'!$C$12:$C$262,'estado terrenos '!A23,'Seguimiento Julio 2024'!$H$12:$H$262,$Z$5)+COUNTIFS('Seguimiento Julio 2024'!$C$12:$C$262,'estado terrenos '!A23,'Seguimiento Julio 2024'!$H$12:$H$262,$AA$5)+COUNTIFS('Seguimiento Julio 2024'!$C$12:$C$262,'estado terrenos '!A23,'Seguimiento Julio 2024'!$H$12:$H$262,$AB$5)+COUNTIFS('Seguimiento Julio 2024'!$C$12:$C$262,'estado terrenos '!A23,'Seguimiento Julio 2024'!$H$12:$H$262,$Z$6)</f>
        <v>3</v>
      </c>
      <c r="G23" s="179">
        <f>+COUNTIFS('Seguimiento Julio 2024'!$C$12:$C$262,'estado terrenos '!A23,'Seguimiento Julio 2024'!$H$12:$H$262,$AB$4)</f>
        <v>1</v>
      </c>
      <c r="H23" s="178">
        <f>+COUNTIFS('Seguimiento Julio 2024'!$C$12:$C$262,'estado terrenos '!A23,'Seguimiento Julio 2024'!$H$12:$H$262,'estado terrenos '!$AB$4,'Seguimiento Julio 2024'!$I$12:$I$262,$AF$4)</f>
        <v>1</v>
      </c>
      <c r="I23" s="178">
        <f>+COUNTIFS('Seguimiento Julio 2024'!$C$12:$C$262,'estado terrenos '!A23,'Seguimiento Julio 2024'!$H$12:$H$262,'estado terrenos '!$AB$4,'Seguimiento Julio 2024'!$I$12:$I$262,$AE$4)+COUNTIFS('Seguimiento Julio 2024'!$C$12:$C$262,'estado terrenos '!A23,'Seguimiento Julio 2024'!$H$12:$H$262,'estado terrenos '!$AB$4,'Seguimiento Julio 2024'!$I$12:$I$262,$AD$5)</f>
        <v>0</v>
      </c>
      <c r="J23" s="180">
        <f>+COUNTIFS('Seguimiento Julio 2024'!$C$12:$C$262,'estado terrenos '!A23,'Seguimiento Julio 2024'!$H$12:$H$262,'estado terrenos '!$AB$4,'Seguimiento Julio 2024'!$I$12:$I$262,$AD$4)+COUNTIFS('Seguimiento Julio 2024'!$C$12:$C$262,'estado terrenos '!A23,'Seguimiento Julio 2024'!$H$12:$H$262,'estado terrenos '!$AB$4,'Seguimiento Julio 2024'!$I$12:$I$262,'estado terrenos '!$AE$5)+COUNTIFS('Seguimiento Julio 2024'!$C$12:$C$262,'estado terrenos '!A23,'Seguimiento Julio 2024'!$H$12:$H$262,'estado terrenos '!$AB$4,'Seguimiento Julio 2024'!$I$12:$I$262,'estado terrenos '!$AF$5)</f>
        <v>0</v>
      </c>
      <c r="K23" s="221">
        <f t="shared" si="0"/>
        <v>0</v>
      </c>
      <c r="L23" s="269">
        <f t="shared" si="1"/>
        <v>0</v>
      </c>
      <c r="M23" s="269">
        <f t="shared" si="2"/>
        <v>0</v>
      </c>
      <c r="N23" s="329">
        <f t="shared" si="3"/>
        <v>0</v>
      </c>
      <c r="O23" s="221" t="e">
        <f>'Resumen Servicio operando PI'!B22</f>
        <v>#REF!</v>
      </c>
      <c r="P23" s="269" t="e">
        <f>'Resumen Servicio operando PI'!C22</f>
        <v>#REF!</v>
      </c>
      <c r="Q23" s="1"/>
      <c r="R23" s="1">
        <f>+COUNTIFS('Seguimiento Julio 2024'!$C$12:$C$256,'estado terrenos '!$A23,'Seguimiento Julio 2024'!$Q$12:$Q$256,'estado terrenos '!$R$5,'Seguimiento Julio 2024'!$Q$12:$Q$256,$R$4,'Seguimiento Julio 2024'!$H$12:$H$256,'estado terrenos '!$Q$5)</f>
        <v>0</v>
      </c>
      <c r="S23" s="1">
        <f>+COUNTIFS('Seguimiento Julio 2024'!$C$12:$C$262,'estado terrenos '!$A23,'Seguimiento Julio 2024'!$Q$12:$Q$262,'estado terrenos '!S$5,'Seguimiento Julio 2024'!$Q$12:$Q$262,S$4,'Seguimiento Julio 2024'!$H$12:$H$262,'estado terrenos '!$Q$5)</f>
        <v>0</v>
      </c>
      <c r="T23" s="1">
        <f>+COUNTIFS('Seguimiento Julio 2024'!$C$12:$C$262,'estado terrenos '!$A23,'Seguimiento Julio 2024'!$Q$12:$Q$262,'estado terrenos '!T$5,'Seguimiento Julio 2024'!$Q$12:$Q$262,T$4,'Seguimiento Julio 2024'!$H$12:$H$262,'estado terrenos '!$Q$5)</f>
        <v>0</v>
      </c>
      <c r="U23" s="1">
        <f>+COUNTIFS('Seguimiento Julio 2024'!$C$12:$C$262,'estado terrenos '!$A23,'Seguimiento Julio 2024'!$Q$12:$Q$262,'estado terrenos '!U$5,'Seguimiento Julio 2024'!$Q$12:$Q$262,U$4,'Seguimiento Julio 2024'!$H$12:$H$262,'estado terrenos '!$Q$5)</f>
        <v>0</v>
      </c>
    </row>
    <row r="24" spans="1:21" ht="21.95" customHeight="1" x14ac:dyDescent="0.35">
      <c r="A24" s="121" t="s">
        <v>44</v>
      </c>
      <c r="B24" s="239">
        <f>+COUNTIF('Seguimiento Julio 2024'!$C$12:$C$262,'estado terrenos '!A24)</f>
        <v>5</v>
      </c>
      <c r="C24" s="240">
        <f>+COUNTIFS('Seguimiento Julio 2024'!$C$12:$C$262,'estado terrenos '!A24,'Seguimiento Julio 2024'!$H$12:$H$262,$Z$4,'Seguimiento Julio 2024'!$Q$12:$Q$262,$AA$6)</f>
        <v>1</v>
      </c>
      <c r="D24" s="179">
        <f>+COUNTIFS('Seguimiento Julio 2024'!$C$12:$C$262,'estado terrenos '!A24,'Seguimiento Julio 2024'!$H$12:$H$262,$Z$5)+COUNTIFS('Seguimiento Julio 2024'!$C$12:$C$262,'estado terrenos '!A24,'Seguimiento Julio 2024'!$H$12:$H$262,$AA$5)+COUNTIFS('Seguimiento Julio 2024'!$C$12:$C$262,'estado terrenos '!A24,'Seguimiento Julio 2024'!$H$12:$H$262,$AB$5)+COUNTIFS('Seguimiento Julio 2024'!$C$12:$C$262,'estado terrenos '!A24,'Seguimiento Julio 2024'!$H$12:$H$262,$Z$6)+COUNTIFS('Seguimiento Julio 2024'!$C$12:$C$262,'estado terrenos '!A24,'Seguimiento Julio 2024'!$H$12:$H$262,$AA$4)+COUNTIFS('Seguimiento Julio 2024'!$C$12:$C$262,'estado terrenos '!A24,'Seguimiento Julio 2024'!$H$12:$H$262,$Y$4)</f>
        <v>3</v>
      </c>
      <c r="E24" s="178">
        <f>+COUNTIFS('Seguimiento Julio 2024'!$C$12:$C$262,'estado terrenos '!A24,'Seguimiento Julio 2024'!$H$12:$H$262,$AA$4)+COUNTIFS('Seguimiento Julio 2024'!$C$12:$C$262,'estado terrenos '!A24,'Seguimiento Julio 2024'!$H$12:$H$262,$Y$4)</f>
        <v>0</v>
      </c>
      <c r="F24" s="180">
        <f>+COUNTIFS('Seguimiento Julio 2024'!$C$12:$C$262,'estado terrenos '!A24,'Seguimiento Julio 2024'!$H$12:$H$262,$Z$5)+COUNTIFS('Seguimiento Julio 2024'!$C$12:$C$262,'estado terrenos '!A24,'Seguimiento Julio 2024'!$H$12:$H$262,$AA$5)+COUNTIFS('Seguimiento Julio 2024'!$C$12:$C$262,'estado terrenos '!A24,'Seguimiento Julio 2024'!$H$12:$H$262,$AB$5)+COUNTIFS('Seguimiento Julio 2024'!$C$12:$C$262,'estado terrenos '!A24,'Seguimiento Julio 2024'!$H$12:$H$262,$Z$6)</f>
        <v>3</v>
      </c>
      <c r="G24" s="179">
        <f>+COUNTIFS('Seguimiento Julio 2024'!$C$12:$C$262,'estado terrenos '!A24,'Seguimiento Julio 2024'!$H$12:$H$262,$AB$4)</f>
        <v>1</v>
      </c>
      <c r="H24" s="178">
        <f>+COUNTIFS('Seguimiento Julio 2024'!$C$12:$C$262,'estado terrenos '!A24,'Seguimiento Julio 2024'!$H$12:$H$262,'estado terrenos '!$AB$4,'Seguimiento Julio 2024'!$I$12:$I$262,$AF$4)</f>
        <v>0</v>
      </c>
      <c r="I24" s="178">
        <f>+COUNTIFS('Seguimiento Julio 2024'!$C$12:$C$262,'estado terrenos '!A24,'Seguimiento Julio 2024'!$H$12:$H$262,'estado terrenos '!$AB$4,'Seguimiento Julio 2024'!$I$12:$I$262,$AE$4)+COUNTIFS('Seguimiento Julio 2024'!$C$12:$C$262,'estado terrenos '!A24,'Seguimiento Julio 2024'!$H$12:$H$262,'estado terrenos '!$AB$4,'Seguimiento Julio 2024'!$I$12:$I$262,$AD$5)</f>
        <v>1</v>
      </c>
      <c r="J24" s="180">
        <f>+COUNTIFS('Seguimiento Julio 2024'!$C$12:$C$262,'estado terrenos '!A24,'Seguimiento Julio 2024'!$H$12:$H$262,'estado terrenos '!$AB$4,'Seguimiento Julio 2024'!$I$12:$I$262,$AD$4)+COUNTIFS('Seguimiento Julio 2024'!$C$12:$C$262,'estado terrenos '!A24,'Seguimiento Julio 2024'!$H$12:$H$262,'estado terrenos '!$AB$4,'Seguimiento Julio 2024'!$I$12:$I$262,'estado terrenos '!$AE$5)+COUNTIFS('Seguimiento Julio 2024'!$C$12:$C$262,'estado terrenos '!A24,'Seguimiento Julio 2024'!$H$12:$H$262,'estado terrenos '!$AB$4,'Seguimiento Julio 2024'!$I$12:$I$262,'estado terrenos '!$AF$5)</f>
        <v>0</v>
      </c>
      <c r="K24" s="221">
        <f t="shared" si="0"/>
        <v>0</v>
      </c>
      <c r="L24" s="269">
        <f t="shared" si="1"/>
        <v>0</v>
      </c>
      <c r="M24" s="269">
        <f t="shared" si="2"/>
        <v>0</v>
      </c>
      <c r="N24" s="329">
        <f t="shared" si="3"/>
        <v>0</v>
      </c>
      <c r="O24" s="221" t="e">
        <f>'Resumen Servicio operando PI'!B23</f>
        <v>#REF!</v>
      </c>
      <c r="P24" s="269" t="e">
        <f>'Resumen Servicio operando PI'!C23</f>
        <v>#REF!</v>
      </c>
      <c r="Q24" s="1"/>
      <c r="R24" s="1">
        <f>+COUNTIFS('Seguimiento Julio 2024'!$C$12:$C$262,'estado terrenos '!$A24,'Seguimiento Julio 2024'!$Q$12:$Q$262,'estado terrenos '!$R$5,'Seguimiento Julio 2024'!$Q$12:$Q$262,$R$4,'Seguimiento Julio 2024'!$H$12:$H$262,'estado terrenos '!$Q$5)</f>
        <v>0</v>
      </c>
      <c r="S24" s="1">
        <f>+COUNTIFS('Seguimiento Julio 2024'!$C$12:$C$262,'estado terrenos '!$A24,'Seguimiento Julio 2024'!$Q$12:$Q$262,'estado terrenos '!S$5,'Seguimiento Julio 2024'!$Q$12:$Q$262,S$4,'Seguimiento Julio 2024'!$H$12:$H$262,'estado terrenos '!$Q$5)</f>
        <v>0</v>
      </c>
      <c r="T24" s="1">
        <f>+COUNTIFS('Seguimiento Julio 2024'!$C$12:$C$262,'estado terrenos '!$A24,'Seguimiento Julio 2024'!$Q$12:$Q$262,'estado terrenos '!T$5,'Seguimiento Julio 2024'!$Q$12:$Q$262,T$4,'Seguimiento Julio 2024'!$H$12:$H$262,'estado terrenos '!$Q$5)</f>
        <v>0</v>
      </c>
      <c r="U24" s="1">
        <f>+COUNTIFS('Seguimiento Julio 2024'!$C$12:$C$262,'estado terrenos '!$A24,'Seguimiento Julio 2024'!$Q$12:$Q$262,'estado terrenos '!U$5,'Seguimiento Julio 2024'!$Q$12:$Q$262,U$4,'Seguimiento Julio 2024'!$H$12:$H$262,'estado terrenos '!$Q$5)</f>
        <v>0</v>
      </c>
    </row>
    <row r="25" spans="1:21" ht="21.95" customHeight="1" x14ac:dyDescent="0.35">
      <c r="A25" s="121" t="s">
        <v>45</v>
      </c>
      <c r="B25" s="239">
        <f>+COUNTIF('Seguimiento Julio 2024'!$C$12:$C$262,'estado terrenos '!A25)</f>
        <v>1</v>
      </c>
      <c r="C25" s="240">
        <f>+COUNTIFS('Seguimiento Julio 2024'!$C$12:$C$262,'estado terrenos '!A25,'Seguimiento Julio 2024'!$H$12:$H$262,$Z$4,'Seguimiento Julio 2024'!$Q$12:$Q$262,$AA$6)</f>
        <v>1</v>
      </c>
      <c r="D25" s="179">
        <f>+COUNTIFS('Seguimiento Julio 2024'!$C$12:$C$262,'estado terrenos '!A25,'Seguimiento Julio 2024'!$H$12:$H$262,$Z$5)+COUNTIFS('Seguimiento Julio 2024'!$C$12:$C$262,'estado terrenos '!A25,'Seguimiento Julio 2024'!$H$12:$H$262,$AA$5)+COUNTIFS('Seguimiento Julio 2024'!$C$12:$C$262,'estado terrenos '!A25,'Seguimiento Julio 2024'!$H$12:$H$262,$AB$5)+COUNTIFS('Seguimiento Julio 2024'!$C$12:$C$262,'estado terrenos '!A25,'Seguimiento Julio 2024'!$H$12:$H$262,$Z$6)+COUNTIFS('Seguimiento Julio 2024'!$C$12:$C$262,'estado terrenos '!A25,'Seguimiento Julio 2024'!$H$12:$H$262,$AA$4)+COUNTIFS('Seguimiento Julio 2024'!$C$12:$C$262,'estado terrenos '!A25,'Seguimiento Julio 2024'!$H$12:$H$262,$Y$4)</f>
        <v>0</v>
      </c>
      <c r="E25" s="178">
        <f>+COUNTIFS('Seguimiento Julio 2024'!$C$12:$C$262,'estado terrenos '!A25,'Seguimiento Julio 2024'!$H$12:$H$262,$AA$4)+COUNTIFS('Seguimiento Julio 2024'!$C$12:$C$262,'estado terrenos '!A25,'Seguimiento Julio 2024'!$H$12:$H$262,$Y$4)</f>
        <v>0</v>
      </c>
      <c r="F25" s="180">
        <f>+COUNTIFS('Seguimiento Julio 2024'!$C$12:$C$262,'estado terrenos '!A25,'Seguimiento Julio 2024'!$H$12:$H$262,$Z$5)+COUNTIFS('Seguimiento Julio 2024'!$C$12:$C$262,'estado terrenos '!A25,'Seguimiento Julio 2024'!$H$12:$H$262,$AA$5)+COUNTIFS('Seguimiento Julio 2024'!$C$12:$C$262,'estado terrenos '!A25,'Seguimiento Julio 2024'!$H$12:$H$262,$AB$5)+COUNTIFS('Seguimiento Julio 2024'!$C$12:$C$262,'estado terrenos '!A25,'Seguimiento Julio 2024'!$H$12:$H$262,$Z$6)</f>
        <v>0</v>
      </c>
      <c r="G25" s="179">
        <f>+COUNTIFS('Seguimiento Julio 2024'!$C$12:$C$262,'estado terrenos '!A25,'Seguimiento Julio 2024'!$H$12:$H$262,$AB$4)</f>
        <v>0</v>
      </c>
      <c r="H25" s="178">
        <f>+COUNTIFS('Seguimiento Julio 2024'!$C$12:$C$262,'estado terrenos '!A25,'Seguimiento Julio 2024'!$H$12:$H$262,'estado terrenos '!$AB$4,'Seguimiento Julio 2024'!$I$12:$I$262,$AF$4)</f>
        <v>0</v>
      </c>
      <c r="I25" s="178">
        <f>+COUNTIFS('Seguimiento Julio 2024'!$C$12:$C$262,'estado terrenos '!A25,'Seguimiento Julio 2024'!$H$12:$H$262,'estado terrenos '!$AB$4,'Seguimiento Julio 2024'!$I$12:$I$262,$AE$4)+COUNTIFS('Seguimiento Julio 2024'!$C$12:$C$262,'estado terrenos '!A25,'Seguimiento Julio 2024'!$H$12:$H$262,'estado terrenos '!$AB$4,'Seguimiento Julio 2024'!$I$12:$I$262,$AD$5)</f>
        <v>0</v>
      </c>
      <c r="J25" s="180">
        <f>+COUNTIFS('Seguimiento Julio 2024'!$C$12:$C$262,'estado terrenos '!A25,'Seguimiento Julio 2024'!$H$12:$H$262,'estado terrenos '!$AB$4,'Seguimiento Julio 2024'!$I$12:$I$262,$AD$4)+COUNTIFS('Seguimiento Julio 2024'!$C$12:$C$262,'estado terrenos '!A25,'Seguimiento Julio 2024'!$H$12:$H$262,'estado terrenos '!$AB$4,'Seguimiento Julio 2024'!$I$12:$I$262,'estado terrenos '!$AE$5)+COUNTIFS('Seguimiento Julio 2024'!$C$12:$C$262,'estado terrenos '!A25,'Seguimiento Julio 2024'!$H$12:$H$262,'estado terrenos '!$AB$4,'Seguimiento Julio 2024'!$I$12:$I$262,'estado terrenos '!$AF$5)</f>
        <v>0</v>
      </c>
      <c r="K25" s="221">
        <f t="shared" si="0"/>
        <v>0</v>
      </c>
      <c r="L25" s="269">
        <f t="shared" si="1"/>
        <v>0</v>
      </c>
      <c r="M25" s="269">
        <f t="shared" si="2"/>
        <v>0</v>
      </c>
      <c r="N25" s="329">
        <f t="shared" si="3"/>
        <v>0</v>
      </c>
      <c r="O25" s="221" t="e">
        <f>'Resumen Servicio operando PI'!B24</f>
        <v>#REF!</v>
      </c>
      <c r="P25" s="269" t="e">
        <f>'Resumen Servicio operando PI'!C24</f>
        <v>#REF!</v>
      </c>
      <c r="Q25" s="1"/>
      <c r="R25" s="1">
        <f>+COUNTIFS('Seguimiento Julio 2024'!$C$12:$C$262,'estado terrenos '!$A25,'Seguimiento Julio 2024'!$Q$12:$Q$262,'estado terrenos '!$R$5,'Seguimiento Julio 2024'!$Q$12:$Q$262,$R$4,'Seguimiento Julio 2024'!$H$12:$H$262,'estado terrenos '!$Q$5)</f>
        <v>0</v>
      </c>
      <c r="S25" s="1">
        <f>+COUNTIFS('Seguimiento Julio 2024'!$C$12:$C$262,'estado terrenos '!$A25,'Seguimiento Julio 2024'!$Q$12:$Q$262,'estado terrenos '!S$5,'Seguimiento Julio 2024'!$Q$12:$Q$262,S$4,'Seguimiento Julio 2024'!$H$12:$H$262,'estado terrenos '!$Q$5)</f>
        <v>0</v>
      </c>
      <c r="T25" s="1">
        <f>+COUNTIFS('Seguimiento Julio 2024'!$C$12:$C$262,'estado terrenos '!$A25,'Seguimiento Julio 2024'!$Q$12:$Q$262,'estado terrenos '!T$5,'Seguimiento Julio 2024'!$Q$12:$Q$262,T$4,'Seguimiento Julio 2024'!$H$12:$H$262,'estado terrenos '!$Q$5)</f>
        <v>0</v>
      </c>
      <c r="U25" s="1">
        <f>+COUNTIFS('Seguimiento Julio 2024'!$C$12:$C$262,'estado terrenos '!$A25,'Seguimiento Julio 2024'!$Q$12:$Q$262,'estado terrenos '!U$5,'Seguimiento Julio 2024'!$Q$12:$Q$262,U$4,'Seguimiento Julio 2024'!$H$12:$H$262,'estado terrenos '!$Q$5)</f>
        <v>0</v>
      </c>
    </row>
    <row r="26" spans="1:21" ht="21.95" customHeight="1" x14ac:dyDescent="0.35">
      <c r="A26" s="121" t="s">
        <v>46</v>
      </c>
      <c r="B26" s="239">
        <f>+COUNTIF('Seguimiento Julio 2024'!$C$12:$C$262,'estado terrenos '!A26)</f>
        <v>4</v>
      </c>
      <c r="C26" s="240">
        <f>+COUNTIFS('Seguimiento Julio 2024'!$C$12:$C$262,'estado terrenos '!A26,'Seguimiento Julio 2024'!$H$12:$H$262,$Z$4,'Seguimiento Julio 2024'!$Q$12:$Q$262,$AA$6)</f>
        <v>1</v>
      </c>
      <c r="D26" s="179">
        <f>+COUNTIFS('Seguimiento Julio 2024'!$C$12:$C$262,'estado terrenos '!A26,'Seguimiento Julio 2024'!$H$12:$H$262,$Z$5)+COUNTIFS('Seguimiento Julio 2024'!$C$12:$C$262,'estado terrenos '!A26,'Seguimiento Julio 2024'!$H$12:$H$262,$AA$5)+COUNTIFS('Seguimiento Julio 2024'!$C$12:$C$262,'estado terrenos '!A26,'Seguimiento Julio 2024'!$H$12:$H$262,$AB$5)+COUNTIFS('Seguimiento Julio 2024'!$C$12:$C$262,'estado terrenos '!A26,'Seguimiento Julio 2024'!$H$12:$H$262,$Z$6)+COUNTIFS('Seguimiento Julio 2024'!$C$12:$C$262,'estado terrenos '!A26,'Seguimiento Julio 2024'!$H$12:$H$262,$AA$4)+COUNTIFS('Seguimiento Julio 2024'!$C$12:$C$262,'estado terrenos '!A26,'Seguimiento Julio 2024'!$H$12:$H$262,$Y$4)</f>
        <v>3</v>
      </c>
      <c r="E26" s="178">
        <f>+COUNTIFS('Seguimiento Julio 2024'!$C$12:$C$262,'estado terrenos '!A26,'Seguimiento Julio 2024'!$H$12:$H$262,$AA$4)+COUNTIFS('Seguimiento Julio 2024'!$C$12:$C$262,'estado terrenos '!A26,'Seguimiento Julio 2024'!$H$12:$H$262,$Y$4)</f>
        <v>0</v>
      </c>
      <c r="F26" s="180">
        <f>+COUNTIFS('Seguimiento Julio 2024'!$C$12:$C$262,'estado terrenos '!A26,'Seguimiento Julio 2024'!$H$12:$H$262,$Z$5)+COUNTIFS('Seguimiento Julio 2024'!$C$12:$C$262,'estado terrenos '!A26,'Seguimiento Julio 2024'!$H$12:$H$262,$AA$5)+COUNTIFS('Seguimiento Julio 2024'!$C$12:$C$262,'estado terrenos '!A26,'Seguimiento Julio 2024'!$H$12:$H$262,$AB$5)+COUNTIFS('Seguimiento Julio 2024'!$C$12:$C$262,'estado terrenos '!A26,'Seguimiento Julio 2024'!$H$12:$H$262,$Z$6)</f>
        <v>3</v>
      </c>
      <c r="G26" s="179">
        <f>+COUNTIFS('Seguimiento Julio 2024'!$C$12:$C$262,'estado terrenos '!A26,'Seguimiento Julio 2024'!$H$12:$H$262,$AB$4)</f>
        <v>0</v>
      </c>
      <c r="H26" s="178">
        <f>+COUNTIFS('Seguimiento Julio 2024'!$C$12:$C$262,'estado terrenos '!A26,'Seguimiento Julio 2024'!$H$12:$H$262,'estado terrenos '!$AB$4,'Seguimiento Julio 2024'!$I$12:$I$262,$AF$4)</f>
        <v>0</v>
      </c>
      <c r="I26" s="178">
        <f>+COUNTIFS('Seguimiento Julio 2024'!$C$12:$C$262,'estado terrenos '!A26,'Seguimiento Julio 2024'!$H$12:$H$262,'estado terrenos '!$AB$4,'Seguimiento Julio 2024'!$I$12:$I$262,$AE$4)+COUNTIFS('Seguimiento Julio 2024'!$C$12:$C$262,'estado terrenos '!A26,'Seguimiento Julio 2024'!$H$12:$H$262,'estado terrenos '!$AB$4,'Seguimiento Julio 2024'!$I$12:$I$262,$AD$5)</f>
        <v>0</v>
      </c>
      <c r="J26" s="180">
        <f>+COUNTIFS('Seguimiento Julio 2024'!$C$12:$C$262,'estado terrenos '!A26,'Seguimiento Julio 2024'!$H$12:$H$262,'estado terrenos '!$AB$4,'Seguimiento Julio 2024'!$I$12:$I$262,$AD$4)+COUNTIFS('Seguimiento Julio 2024'!$C$12:$C$262,'estado terrenos '!A26,'Seguimiento Julio 2024'!$H$12:$H$262,'estado terrenos '!$AB$4,'Seguimiento Julio 2024'!$I$12:$I$262,'estado terrenos '!$AE$5)+COUNTIFS('Seguimiento Julio 2024'!$C$12:$C$262,'estado terrenos '!A26,'Seguimiento Julio 2024'!$H$12:$H$262,'estado terrenos '!$AB$4,'Seguimiento Julio 2024'!$I$12:$I$262,'estado terrenos '!$AF$5)</f>
        <v>0</v>
      </c>
      <c r="K26" s="221">
        <f t="shared" si="0"/>
        <v>0</v>
      </c>
      <c r="L26" s="269">
        <f t="shared" si="1"/>
        <v>0</v>
      </c>
      <c r="M26" s="269">
        <f t="shared" si="2"/>
        <v>0</v>
      </c>
      <c r="N26" s="329">
        <f t="shared" si="3"/>
        <v>0</v>
      </c>
      <c r="O26" s="221" t="e">
        <f>'Resumen Servicio operando PI'!B25</f>
        <v>#REF!</v>
      </c>
      <c r="P26" s="269" t="e">
        <f>'Resumen Servicio operando PI'!C25</f>
        <v>#REF!</v>
      </c>
      <c r="Q26" s="1"/>
      <c r="R26" s="1">
        <f>+COUNTIFS('Seguimiento Julio 2024'!$C$12:$C$262,'estado terrenos '!$A26,'Seguimiento Julio 2024'!$Q$12:$Q$262,'estado terrenos '!$R$5,'Seguimiento Julio 2024'!$Q$12:$Q$262,$R$4,'Seguimiento Julio 2024'!$H$12:$H$262,'estado terrenos '!$Q$5)</f>
        <v>0</v>
      </c>
      <c r="S26" s="1">
        <f>+COUNTIFS('Seguimiento Julio 2024'!$C$12:$C$262,'estado terrenos '!$A26,'Seguimiento Julio 2024'!$Q$12:$Q$262,'estado terrenos '!S$5,'Seguimiento Julio 2024'!$Q$12:$Q$262,S$4,'Seguimiento Julio 2024'!$H$12:$H$262,'estado terrenos '!$Q$5)</f>
        <v>0</v>
      </c>
      <c r="T26" s="1">
        <f>+COUNTIFS('Seguimiento Julio 2024'!$C$12:$C$262,'estado terrenos '!$A26,'Seguimiento Julio 2024'!$Q$12:$Q$262,'estado terrenos '!T$5,'Seguimiento Julio 2024'!$Q$12:$Q$262,T$4,'Seguimiento Julio 2024'!$H$12:$H$262,'estado terrenos '!$Q$5)</f>
        <v>0</v>
      </c>
      <c r="U26" s="1">
        <f>+COUNTIFS('Seguimiento Julio 2024'!$C$12:$C$262,'estado terrenos '!$A26,'Seguimiento Julio 2024'!$Q$12:$Q$262,'estado terrenos '!U$5,'Seguimiento Julio 2024'!$Q$12:$Q$262,U$4,'Seguimiento Julio 2024'!$H$12:$H$262,'estado terrenos '!$Q$5)</f>
        <v>0</v>
      </c>
    </row>
    <row r="27" spans="1:21" ht="21.95" customHeight="1" x14ac:dyDescent="0.35">
      <c r="A27" s="121" t="s">
        <v>47</v>
      </c>
      <c r="B27" s="239">
        <f>+COUNTIF('Seguimiento Julio 2024'!$C$12:$C$262,'estado terrenos '!A27)</f>
        <v>7</v>
      </c>
      <c r="C27" s="240">
        <f>+COUNTIFS('Seguimiento Julio 2024'!$C$12:$C$262,'estado terrenos '!A27,'Seguimiento Julio 2024'!$H$12:$H$262,$Z$4,'Seguimiento Julio 2024'!$Q$12:$Q$262,$AA$6)</f>
        <v>2</v>
      </c>
      <c r="D27" s="179">
        <f>+COUNTIFS('Seguimiento Julio 2024'!$C$12:$C$262,'estado terrenos '!A27,'Seguimiento Julio 2024'!$H$12:$H$262,$Z$5)+COUNTIFS('Seguimiento Julio 2024'!$C$12:$C$262,'estado terrenos '!A27,'Seguimiento Julio 2024'!$H$12:$H$262,$AA$5)+COUNTIFS('Seguimiento Julio 2024'!$C$12:$C$262,'estado terrenos '!A27,'Seguimiento Julio 2024'!$H$12:$H$262,$AB$5)+COUNTIFS('Seguimiento Julio 2024'!$C$12:$C$262,'estado terrenos '!A27,'Seguimiento Julio 2024'!$H$12:$H$262,$Z$6)+COUNTIFS('Seguimiento Julio 2024'!$C$12:$C$262,'estado terrenos '!A27,'Seguimiento Julio 2024'!$H$12:$H$262,$AA$4)+COUNTIFS('Seguimiento Julio 2024'!$C$12:$C$262,'estado terrenos '!A27,'Seguimiento Julio 2024'!$H$12:$H$262,$Y$4)</f>
        <v>2</v>
      </c>
      <c r="E27" s="178">
        <f>+COUNTIFS('Seguimiento Julio 2024'!$C$12:$C$262,'estado terrenos '!A27,'Seguimiento Julio 2024'!$H$12:$H$262,$AA$4)+COUNTIFS('Seguimiento Julio 2024'!$C$12:$C$262,'estado terrenos '!A27,'Seguimiento Julio 2024'!$H$12:$H$262,$Y$4)</f>
        <v>0</v>
      </c>
      <c r="F27" s="180">
        <f>+COUNTIFS('Seguimiento Julio 2024'!$C$12:$C$262,'estado terrenos '!A27,'Seguimiento Julio 2024'!$H$12:$H$262,$Z$5)+COUNTIFS('Seguimiento Julio 2024'!$C$12:$C$262,'estado terrenos '!A27,'Seguimiento Julio 2024'!$H$12:$H$262,$AA$5)+COUNTIFS('Seguimiento Julio 2024'!$C$12:$C$262,'estado terrenos '!A27,'Seguimiento Julio 2024'!$H$12:$H$262,$AB$5)+COUNTIFS('Seguimiento Julio 2024'!$C$12:$C$262,'estado terrenos '!A27,'Seguimiento Julio 2024'!$H$12:$H$262,$Z$6)</f>
        <v>2</v>
      </c>
      <c r="G27" s="179">
        <f>+COUNTIFS('Seguimiento Julio 2024'!$C$12:$C$262,'estado terrenos '!A27,'Seguimiento Julio 2024'!$H$12:$H$262,$AB$4)</f>
        <v>3</v>
      </c>
      <c r="H27" s="178">
        <f>+COUNTIFS('Seguimiento Julio 2024'!$C$12:$C$262,'estado terrenos '!A27,'Seguimiento Julio 2024'!$H$12:$H$262,'estado terrenos '!$AB$4,'Seguimiento Julio 2024'!$I$12:$I$262,$AF$4)</f>
        <v>2</v>
      </c>
      <c r="I27" s="178">
        <f>+COUNTIFS('Seguimiento Julio 2024'!$C$12:$C$262,'estado terrenos '!A27,'Seguimiento Julio 2024'!$H$12:$H$262,'estado terrenos '!$AB$4,'Seguimiento Julio 2024'!$I$12:$I$262,$AE$4)+COUNTIFS('Seguimiento Julio 2024'!$C$12:$C$262,'estado terrenos '!A27,'Seguimiento Julio 2024'!$H$12:$H$262,'estado terrenos '!$AB$4,'Seguimiento Julio 2024'!$I$12:$I$262,$AD$5)</f>
        <v>1</v>
      </c>
      <c r="J27" s="180">
        <f>+COUNTIFS('Seguimiento Julio 2024'!$C$12:$C$262,'estado terrenos '!A27,'Seguimiento Julio 2024'!$H$12:$H$262,'estado terrenos '!$AB$4,'Seguimiento Julio 2024'!$I$12:$I$262,$AD$4)+COUNTIFS('Seguimiento Julio 2024'!$C$12:$C$262,'estado terrenos '!A27,'Seguimiento Julio 2024'!$H$12:$H$262,'estado terrenos '!$AB$4,'Seguimiento Julio 2024'!$I$12:$I$262,'estado terrenos '!$AE$5)+COUNTIFS('Seguimiento Julio 2024'!$C$12:$C$262,'estado terrenos '!A27,'Seguimiento Julio 2024'!$H$12:$H$262,'estado terrenos '!$AB$4,'Seguimiento Julio 2024'!$I$12:$I$262,'estado terrenos '!$AF$5)</f>
        <v>0</v>
      </c>
      <c r="K27" s="221">
        <f t="shared" si="0"/>
        <v>0</v>
      </c>
      <c r="L27" s="269">
        <f t="shared" si="1"/>
        <v>0</v>
      </c>
      <c r="M27" s="269">
        <f t="shared" si="2"/>
        <v>0</v>
      </c>
      <c r="N27" s="329">
        <f t="shared" si="3"/>
        <v>0</v>
      </c>
      <c r="O27" s="221" t="e">
        <f>'Resumen Servicio operando PI'!B26</f>
        <v>#REF!</v>
      </c>
      <c r="P27" s="269" t="e">
        <f>'Resumen Servicio operando PI'!C26</f>
        <v>#REF!</v>
      </c>
      <c r="Q27" s="1"/>
      <c r="R27" s="1">
        <f>+COUNTIFS('Seguimiento Julio 2024'!$C$12:$C$262,'estado terrenos '!$A27,'Seguimiento Julio 2024'!$Q$12:$Q$262,'estado terrenos '!$R$5,'Seguimiento Julio 2024'!$Q$12:$Q$262,$R$4,'Seguimiento Julio 2024'!$H$12:$H$262,'estado terrenos '!$Q$5)</f>
        <v>0</v>
      </c>
      <c r="S27" s="1">
        <f>+COUNTIFS('Seguimiento Julio 2024'!$C$12:$C$262,'estado terrenos '!$A27,'Seguimiento Julio 2024'!$Q$12:$Q$262,'estado terrenos '!S$5,'Seguimiento Julio 2024'!$Q$12:$Q$262,S$4,'Seguimiento Julio 2024'!$H$12:$H$262,'estado terrenos '!$Q$5)</f>
        <v>0</v>
      </c>
      <c r="T27" s="1">
        <f>+COUNTIFS('Seguimiento Julio 2024'!$C$12:$C$262,'estado terrenos '!$A27,'Seguimiento Julio 2024'!$Q$12:$Q$262,'estado terrenos '!T$5,'Seguimiento Julio 2024'!$Q$12:$Q$262,T$4,'Seguimiento Julio 2024'!$H$12:$H$262,'estado terrenos '!$Q$5)</f>
        <v>0</v>
      </c>
      <c r="U27" s="1">
        <f>+COUNTIFS('Seguimiento Julio 2024'!$C$12:$C$262,'estado terrenos '!$A27,'Seguimiento Julio 2024'!$Q$12:$Q$262,'estado terrenos '!U$5,'Seguimiento Julio 2024'!$Q$12:$Q$262,U$4,'Seguimiento Julio 2024'!$H$12:$H$262,'estado terrenos '!$Q$5)</f>
        <v>0</v>
      </c>
    </row>
    <row r="28" spans="1:21" ht="21.95" customHeight="1" x14ac:dyDescent="0.35">
      <c r="A28" s="121" t="s">
        <v>69</v>
      </c>
      <c r="B28" s="239">
        <f>+COUNTIF('Seguimiento Julio 2024'!$C$12:$C$262,'estado terrenos '!A28)</f>
        <v>3</v>
      </c>
      <c r="C28" s="240">
        <f>+COUNTIFS('Seguimiento Julio 2024'!$C$12:$C$262,'estado terrenos '!A28,'Seguimiento Julio 2024'!$H$12:$H$262,$Z$4,'Seguimiento Julio 2024'!$Q$12:$Q$262,$AA$6)</f>
        <v>1</v>
      </c>
      <c r="D28" s="179">
        <f>+COUNTIFS('Seguimiento Julio 2024'!$C$12:$C$262,'estado terrenos '!A28,'Seguimiento Julio 2024'!$H$12:$H$262,$Z$5)+COUNTIFS('Seguimiento Julio 2024'!$C$12:$C$262,'estado terrenos '!A28,'Seguimiento Julio 2024'!$H$12:$H$262,$AA$5)+COUNTIFS('Seguimiento Julio 2024'!$C$12:$C$262,'estado terrenos '!A28,'Seguimiento Julio 2024'!$H$12:$H$262,$AB$5)+COUNTIFS('Seguimiento Julio 2024'!$C$12:$C$262,'estado terrenos '!A28,'Seguimiento Julio 2024'!$H$12:$H$262,$Z$6)+COUNTIFS('Seguimiento Julio 2024'!$C$12:$C$262,'estado terrenos '!A28,'Seguimiento Julio 2024'!$H$12:$H$262,$AA$4)+COUNTIFS('Seguimiento Julio 2024'!$C$12:$C$262,'estado terrenos '!A28,'Seguimiento Julio 2024'!$H$12:$H$262,$Y$4)</f>
        <v>2</v>
      </c>
      <c r="E28" s="178">
        <f>+COUNTIFS('Seguimiento Julio 2024'!$C$12:$C$262,'estado terrenos '!A28,'Seguimiento Julio 2024'!$H$12:$H$262,$AA$4)+COUNTIFS('Seguimiento Julio 2024'!$C$12:$C$262,'estado terrenos '!A28,'Seguimiento Julio 2024'!$H$12:$H$262,$Y$4)</f>
        <v>1</v>
      </c>
      <c r="F28" s="180">
        <f>+COUNTIFS('Seguimiento Julio 2024'!$C$12:$C$262,'estado terrenos '!A28,'Seguimiento Julio 2024'!$H$12:$H$262,$Z$5)+COUNTIFS('Seguimiento Julio 2024'!$C$12:$C$262,'estado terrenos '!A28,'Seguimiento Julio 2024'!$H$12:$H$262,$AA$5)+COUNTIFS('Seguimiento Julio 2024'!$C$12:$C$262,'estado terrenos '!A28,'Seguimiento Julio 2024'!$H$12:$H$262,$AB$5)+COUNTIFS('Seguimiento Julio 2024'!$C$12:$C$262,'estado terrenos '!A28,'Seguimiento Julio 2024'!$H$12:$H$262,$Z$6)</f>
        <v>1</v>
      </c>
      <c r="G28" s="179">
        <f>+COUNTIFS('Seguimiento Julio 2024'!$C$12:$C$262,'estado terrenos '!A28,'Seguimiento Julio 2024'!$H$12:$H$262,$AB$4)</f>
        <v>0</v>
      </c>
      <c r="H28" s="178">
        <f>+COUNTIFS('Seguimiento Julio 2024'!$C$12:$C$262,'estado terrenos '!A28,'Seguimiento Julio 2024'!$H$12:$H$262,'estado terrenos '!$AB$4,'Seguimiento Julio 2024'!$I$12:$I$262,$AF$4)</f>
        <v>0</v>
      </c>
      <c r="I28" s="178">
        <f>+COUNTIFS('Seguimiento Julio 2024'!$C$12:$C$262,'estado terrenos '!A28,'Seguimiento Julio 2024'!$H$12:$H$262,'estado terrenos '!$AB$4,'Seguimiento Julio 2024'!$I$12:$I$262,$AE$4)+COUNTIFS('Seguimiento Julio 2024'!$C$12:$C$262,'estado terrenos '!A28,'Seguimiento Julio 2024'!$H$12:$H$262,'estado terrenos '!$AB$4,'Seguimiento Julio 2024'!$I$12:$I$262,$AD$5)</f>
        <v>0</v>
      </c>
      <c r="J28" s="180">
        <f>+COUNTIFS('Seguimiento Julio 2024'!$C$12:$C$262,'estado terrenos '!A28,'Seguimiento Julio 2024'!$H$12:$H$262,'estado terrenos '!$AB$4,'Seguimiento Julio 2024'!$I$12:$I$262,$AD$4)+COUNTIFS('Seguimiento Julio 2024'!$C$12:$C$262,'estado terrenos '!A28,'Seguimiento Julio 2024'!$H$12:$H$262,'estado terrenos '!$AB$4,'Seguimiento Julio 2024'!$I$12:$I$262,'estado terrenos '!$AE$5)+COUNTIFS('Seguimiento Julio 2024'!$C$12:$C$262,'estado terrenos '!A28,'Seguimiento Julio 2024'!$H$12:$H$262,'estado terrenos '!$AB$4,'Seguimiento Julio 2024'!$I$12:$I$262,'estado terrenos '!$AF$5)</f>
        <v>0</v>
      </c>
      <c r="K28" s="221">
        <f t="shared" si="0"/>
        <v>0</v>
      </c>
      <c r="L28" s="269">
        <f t="shared" si="1"/>
        <v>0</v>
      </c>
      <c r="M28" s="269">
        <f t="shared" si="2"/>
        <v>0</v>
      </c>
      <c r="N28" s="329">
        <f t="shared" si="3"/>
        <v>0</v>
      </c>
      <c r="O28" s="221" t="e">
        <f>'Resumen Servicio operando PI'!B27</f>
        <v>#REF!</v>
      </c>
      <c r="P28" s="269" t="e">
        <f>'Resumen Servicio operando PI'!C27</f>
        <v>#REF!</v>
      </c>
      <c r="Q28" s="1"/>
      <c r="R28" s="1">
        <f>+COUNTIFS('Seguimiento Julio 2024'!$C$12:$C$262,'estado terrenos '!$A28,'Seguimiento Julio 2024'!$Q$12:$Q$262,'estado terrenos '!$R$5,'Seguimiento Julio 2024'!$Q$12:$Q$262,$R$4,'Seguimiento Julio 2024'!$H$12:$H$262,'estado terrenos '!$Q$5)</f>
        <v>0</v>
      </c>
      <c r="S28" s="1">
        <f>+COUNTIFS('Seguimiento Julio 2024'!$C$12:$C$262,'estado terrenos '!$A28,'Seguimiento Julio 2024'!$Q$12:$Q$262,'estado terrenos '!S$5,'Seguimiento Julio 2024'!$Q$12:$Q$262,S$4,'Seguimiento Julio 2024'!$H$12:$H$262,'estado terrenos '!$Q$5)</f>
        <v>0</v>
      </c>
      <c r="T28" s="1">
        <f>+COUNTIFS('Seguimiento Julio 2024'!$C$12:$C$262,'estado terrenos '!$A28,'Seguimiento Julio 2024'!$Q$12:$Q$262,'estado terrenos '!T$5,'Seguimiento Julio 2024'!$Q$12:$Q$262,T$4,'Seguimiento Julio 2024'!$H$12:$H$262,'estado terrenos '!$Q$5)</f>
        <v>0</v>
      </c>
      <c r="U28" s="1">
        <f>+COUNTIFS('Seguimiento Julio 2024'!$C$12:$C$262,'estado terrenos '!$A28,'Seguimiento Julio 2024'!$Q$12:$Q$262,'estado terrenos '!U$5,'Seguimiento Julio 2024'!$Q$12:$Q$262,U$4,'Seguimiento Julio 2024'!$H$12:$H$262,'estado terrenos '!$Q$5)</f>
        <v>0</v>
      </c>
    </row>
    <row r="29" spans="1:21" ht="21.95" customHeight="1" x14ac:dyDescent="0.35">
      <c r="A29" s="121" t="s">
        <v>49</v>
      </c>
      <c r="B29" s="239">
        <f>+COUNTIF('Seguimiento Julio 2024'!$C$12:$C$262,'estado terrenos '!A29)</f>
        <v>13</v>
      </c>
      <c r="C29" s="240">
        <f>+COUNTIFS('Seguimiento Julio 2024'!$C$12:$C$262,'estado terrenos '!A29,'Seguimiento Julio 2024'!$H$12:$H$262,$Z$4,'Seguimiento Julio 2024'!$Q$12:$Q$262,$AA$6)</f>
        <v>3</v>
      </c>
      <c r="D29" s="179">
        <f>+COUNTIFS('Seguimiento Julio 2024'!$C$12:$C$262,'estado terrenos '!A29,'Seguimiento Julio 2024'!$H$12:$H$262,$Z$5)+COUNTIFS('Seguimiento Julio 2024'!$C$12:$C$262,'estado terrenos '!A29,'Seguimiento Julio 2024'!$H$12:$H$262,$AA$5)+COUNTIFS('Seguimiento Julio 2024'!$C$12:$C$262,'estado terrenos '!A29,'Seguimiento Julio 2024'!$H$12:$H$262,$AB$5)+COUNTIFS('Seguimiento Julio 2024'!$C$12:$C$262,'estado terrenos '!A29,'Seguimiento Julio 2024'!$H$12:$H$262,$Z$6)+COUNTIFS('Seguimiento Julio 2024'!$C$12:$C$262,'estado terrenos '!A29,'Seguimiento Julio 2024'!$H$12:$H$262,$AA$4)+COUNTIFS('Seguimiento Julio 2024'!$C$12:$C$262,'estado terrenos '!A29,'Seguimiento Julio 2024'!$H$12:$H$262,$Y$4)</f>
        <v>6</v>
      </c>
      <c r="E29" s="178">
        <f>+COUNTIFS('Seguimiento Julio 2024'!$C$12:$C$262,'estado terrenos '!A29,'Seguimiento Julio 2024'!$H$12:$H$262,$AA$4)+COUNTIFS('Seguimiento Julio 2024'!$C$12:$C$262,'estado terrenos '!A29,'Seguimiento Julio 2024'!$H$12:$H$262,$Y$4)</f>
        <v>1</v>
      </c>
      <c r="F29" s="180">
        <f>+COUNTIFS('Seguimiento Julio 2024'!$C$12:$C$262,'estado terrenos '!A29,'Seguimiento Julio 2024'!$H$12:$H$262,$Z$5)+COUNTIFS('Seguimiento Julio 2024'!$C$12:$C$262,'estado terrenos '!A29,'Seguimiento Julio 2024'!$H$12:$H$262,$AA$5)+COUNTIFS('Seguimiento Julio 2024'!$C$12:$C$262,'estado terrenos '!A29,'Seguimiento Julio 2024'!$H$12:$H$262,$AB$5)+COUNTIFS('Seguimiento Julio 2024'!$C$12:$C$262,'estado terrenos '!A29,'Seguimiento Julio 2024'!$H$12:$H$262,$Z$6)</f>
        <v>5</v>
      </c>
      <c r="G29" s="179">
        <f>+COUNTIFS('Seguimiento Julio 2024'!$C$12:$C$262,'estado terrenos '!A29,'Seguimiento Julio 2024'!$H$12:$H$262,$AB$4)</f>
        <v>4</v>
      </c>
      <c r="H29" s="178">
        <f>+COUNTIFS('Seguimiento Julio 2024'!$C$12:$C$262,'estado terrenos '!A29,'Seguimiento Julio 2024'!$H$12:$H$262,'estado terrenos '!$AB$4,'Seguimiento Julio 2024'!$I$12:$I$262,$AF$4)</f>
        <v>3</v>
      </c>
      <c r="I29" s="178">
        <f>+COUNTIFS('Seguimiento Julio 2024'!$C$12:$C$262,'estado terrenos '!A29,'Seguimiento Julio 2024'!$H$12:$H$262,'estado terrenos '!$AB$4,'Seguimiento Julio 2024'!$I$12:$I$262,$AE$4)+COUNTIFS('Seguimiento Julio 2024'!$C$12:$C$262,'estado terrenos '!A29,'Seguimiento Julio 2024'!$H$12:$H$262,'estado terrenos '!$AB$4,'Seguimiento Julio 2024'!$I$12:$I$262,$AD$5)</f>
        <v>0</v>
      </c>
      <c r="J29" s="180">
        <f>+COUNTIFS('Seguimiento Julio 2024'!$C$12:$C$262,'estado terrenos '!A29,'Seguimiento Julio 2024'!$H$12:$H$262,'estado terrenos '!$AB$4,'Seguimiento Julio 2024'!$I$12:$I$262,$AD$4)+COUNTIFS('Seguimiento Julio 2024'!$C$12:$C$262,'estado terrenos '!A29,'Seguimiento Julio 2024'!$H$12:$H$262,'estado terrenos '!$AB$4,'Seguimiento Julio 2024'!$I$12:$I$262,'estado terrenos '!$AE$5)+COUNTIFS('Seguimiento Julio 2024'!$C$12:$C$262,'estado terrenos '!A29,'Seguimiento Julio 2024'!$H$12:$H$262,'estado terrenos '!$AB$4,'Seguimiento Julio 2024'!$I$12:$I$262,'estado terrenos '!$AF$5)</f>
        <v>1</v>
      </c>
      <c r="K29" s="221">
        <f t="shared" si="0"/>
        <v>0</v>
      </c>
      <c r="L29" s="269">
        <f t="shared" si="1"/>
        <v>0</v>
      </c>
      <c r="M29" s="269">
        <f t="shared" si="2"/>
        <v>0</v>
      </c>
      <c r="N29" s="329">
        <f t="shared" si="3"/>
        <v>0</v>
      </c>
      <c r="O29" s="221" t="e">
        <f>'Resumen Servicio operando PI'!B28</f>
        <v>#REF!</v>
      </c>
      <c r="P29" s="269" t="e">
        <f>'Resumen Servicio operando PI'!C28</f>
        <v>#REF!</v>
      </c>
      <c r="Q29" s="1"/>
      <c r="R29" s="1">
        <f>+COUNTIFS('Seguimiento Julio 2024'!$C$12:$C$262,'estado terrenos '!$A29,'Seguimiento Julio 2024'!$Q$12:$Q$262,'estado terrenos '!$R$5,'Seguimiento Julio 2024'!$Q$12:$Q$262,$R$4,'Seguimiento Julio 2024'!$H$12:$H$262,'estado terrenos '!$Q$5)</f>
        <v>0</v>
      </c>
      <c r="S29" s="1">
        <f>+COUNTIFS('Seguimiento Julio 2024'!$C$12:$C$262,'estado terrenos '!$A29,'Seguimiento Julio 2024'!$Q$12:$Q$262,'estado terrenos '!S$5,'Seguimiento Julio 2024'!$Q$12:$Q$262,S$4,'Seguimiento Julio 2024'!$H$12:$H$262,'estado terrenos '!$Q$5)</f>
        <v>0</v>
      </c>
      <c r="T29" s="1">
        <f>+COUNTIFS('Seguimiento Julio 2024'!$C$12:$C$262,'estado terrenos '!$A29,'Seguimiento Julio 2024'!$Q$12:$Q$262,'estado terrenos '!T$5,'Seguimiento Julio 2024'!$Q$12:$Q$262,T$4,'Seguimiento Julio 2024'!$H$12:$H$262,'estado terrenos '!$Q$5)</f>
        <v>0</v>
      </c>
      <c r="U29" s="1">
        <f>+COUNTIFS('Seguimiento Julio 2024'!$C$12:$C$262,'estado terrenos '!$A29,'Seguimiento Julio 2024'!$Q$12:$Q$262,'estado terrenos '!U$5,'Seguimiento Julio 2024'!$Q$12:$Q$262,U$4,'Seguimiento Julio 2024'!$H$12:$H$262,'estado terrenos '!$Q$5)</f>
        <v>0</v>
      </c>
    </row>
    <row r="30" spans="1:21" ht="21.95" customHeight="1" x14ac:dyDescent="0.35">
      <c r="A30" s="121" t="s">
        <v>70</v>
      </c>
      <c r="B30" s="239">
        <f>+COUNTIF('Seguimiento Julio 2024'!$C$12:$C$262,'estado terrenos '!A30)</f>
        <v>2</v>
      </c>
      <c r="C30" s="240">
        <f>+COUNTIFS('Seguimiento Julio 2024'!$C$12:$C$262,'estado terrenos '!A30,'Seguimiento Julio 2024'!$H$12:$H$262,$Z$4,'Seguimiento Julio 2024'!$Q$12:$Q$262,$AA$6)</f>
        <v>2</v>
      </c>
      <c r="D30" s="179">
        <f>+COUNTIFS('Seguimiento Julio 2024'!$C$12:$C$262,'estado terrenos '!A30,'Seguimiento Julio 2024'!$H$12:$H$262,$Z$5)+COUNTIFS('Seguimiento Julio 2024'!$C$12:$C$262,'estado terrenos '!A30,'Seguimiento Julio 2024'!$H$12:$H$262,$AA$5)+COUNTIFS('Seguimiento Julio 2024'!$C$12:$C$262,'estado terrenos '!A30,'Seguimiento Julio 2024'!$H$12:$H$262,$AB$5)+COUNTIFS('Seguimiento Julio 2024'!$C$12:$C$262,'estado terrenos '!A30,'Seguimiento Julio 2024'!$H$12:$H$262,$Z$6)+COUNTIFS('Seguimiento Julio 2024'!$C$12:$C$262,'estado terrenos '!A30,'Seguimiento Julio 2024'!$H$12:$H$262,$AA$4)+COUNTIFS('Seguimiento Julio 2024'!$C$12:$C$262,'estado terrenos '!A30,'Seguimiento Julio 2024'!$H$12:$H$262,$Y$4)</f>
        <v>0</v>
      </c>
      <c r="E30" s="178">
        <f>+COUNTIFS('Seguimiento Julio 2024'!$C$12:$C$262,'estado terrenos '!A30,'Seguimiento Julio 2024'!$H$12:$H$262,$AA$4)+COUNTIFS('Seguimiento Julio 2024'!$C$12:$C$262,'estado terrenos '!A30,'Seguimiento Julio 2024'!$H$12:$H$262,$Y$4)</f>
        <v>0</v>
      </c>
      <c r="F30" s="180">
        <f>+COUNTIFS('Seguimiento Julio 2024'!$C$12:$C$262,'estado terrenos '!A30,'Seguimiento Julio 2024'!$H$12:$H$262,$Z$5)+COUNTIFS('Seguimiento Julio 2024'!$C$12:$C$262,'estado terrenos '!A30,'Seguimiento Julio 2024'!$H$12:$H$262,$AA$5)+COUNTIFS('Seguimiento Julio 2024'!$C$12:$C$262,'estado terrenos '!A30,'Seguimiento Julio 2024'!$H$12:$H$262,$AB$5)+COUNTIFS('Seguimiento Julio 2024'!$C$12:$C$262,'estado terrenos '!A30,'Seguimiento Julio 2024'!$H$12:$H$262,$Z$6)</f>
        <v>0</v>
      </c>
      <c r="G30" s="179">
        <f>+COUNTIFS('Seguimiento Julio 2024'!$C$12:$C$262,'estado terrenos '!A30,'Seguimiento Julio 2024'!$H$12:$H$262,$AB$4)</f>
        <v>0</v>
      </c>
      <c r="H30" s="178">
        <f>+COUNTIFS('Seguimiento Julio 2024'!$C$12:$C$262,'estado terrenos '!A30,'Seguimiento Julio 2024'!$H$12:$H$262,'estado terrenos '!$AB$4,'Seguimiento Julio 2024'!$I$12:$I$262,$AF$4)</f>
        <v>0</v>
      </c>
      <c r="I30" s="178">
        <f>+COUNTIFS('Seguimiento Julio 2024'!$C$12:$C$262,'estado terrenos '!A30,'Seguimiento Julio 2024'!$H$12:$H$262,'estado terrenos '!$AB$4,'Seguimiento Julio 2024'!$I$12:$I$262,$AE$4)+COUNTIFS('Seguimiento Julio 2024'!$C$12:$C$262,'estado terrenos '!A30,'Seguimiento Julio 2024'!$H$12:$H$262,'estado terrenos '!$AB$4,'Seguimiento Julio 2024'!$I$12:$I$262,$AD$5)</f>
        <v>0</v>
      </c>
      <c r="J30" s="180">
        <f>+COUNTIFS('Seguimiento Julio 2024'!$C$12:$C$262,'estado terrenos '!A30,'Seguimiento Julio 2024'!$H$12:$H$262,'estado terrenos '!$AB$4,'Seguimiento Julio 2024'!$I$12:$I$262,$AD$4)+COUNTIFS('Seguimiento Julio 2024'!$C$12:$C$262,'estado terrenos '!A30,'Seguimiento Julio 2024'!$H$12:$H$262,'estado terrenos '!$AB$4,'Seguimiento Julio 2024'!$I$12:$I$262,'estado terrenos '!$AE$5)+COUNTIFS('Seguimiento Julio 2024'!$C$12:$C$262,'estado terrenos '!A30,'Seguimiento Julio 2024'!$H$12:$H$262,'estado terrenos '!$AB$4,'Seguimiento Julio 2024'!$I$12:$I$262,'estado terrenos '!$AF$5)</f>
        <v>0</v>
      </c>
      <c r="K30" s="221">
        <f t="shared" si="0"/>
        <v>0</v>
      </c>
      <c r="L30" s="269">
        <f t="shared" si="1"/>
        <v>0</v>
      </c>
      <c r="M30" s="269">
        <f t="shared" si="2"/>
        <v>0</v>
      </c>
      <c r="N30" s="329">
        <f t="shared" si="3"/>
        <v>0</v>
      </c>
      <c r="O30" s="221" t="e">
        <f>'Resumen Servicio operando PI'!B29</f>
        <v>#REF!</v>
      </c>
      <c r="P30" s="269" t="e">
        <f>'Resumen Servicio operando PI'!C29</f>
        <v>#REF!</v>
      </c>
      <c r="Q30" s="1"/>
      <c r="R30" s="1">
        <f>+COUNTIFS('Seguimiento Julio 2024'!$C$12:$C$262,'estado terrenos '!$A30,'Seguimiento Julio 2024'!$Q$12:$Q$262,'estado terrenos '!$R$5,'Seguimiento Julio 2024'!$Q$12:$Q$262,$R$4,'Seguimiento Julio 2024'!$H$12:$H$262,'estado terrenos '!$Q$5)</f>
        <v>0</v>
      </c>
      <c r="S30" s="1">
        <f>+COUNTIFS('Seguimiento Julio 2024'!$C$12:$C$262,'estado terrenos '!$A30,'Seguimiento Julio 2024'!$Q$12:$Q$262,'estado terrenos '!S$5,'Seguimiento Julio 2024'!$Q$12:$Q$262,S$4,'Seguimiento Julio 2024'!$H$12:$H$262,'estado terrenos '!$Q$5)</f>
        <v>0</v>
      </c>
      <c r="T30" s="1">
        <f>+COUNTIFS('Seguimiento Julio 2024'!$C$12:$C$262,'estado terrenos '!$A30,'Seguimiento Julio 2024'!$Q$12:$Q$262,'estado terrenos '!T$5,'Seguimiento Julio 2024'!$Q$12:$Q$262,T$4,'Seguimiento Julio 2024'!$H$12:$H$262,'estado terrenos '!$Q$5)</f>
        <v>0</v>
      </c>
      <c r="U30" s="1">
        <f>+COUNTIFS('Seguimiento Julio 2024'!$C$12:$C$262,'estado terrenos '!$A30,'Seguimiento Julio 2024'!$Q$12:$Q$262,'estado terrenos '!U$5,'Seguimiento Julio 2024'!$Q$12:$Q$262,U$4,'Seguimiento Julio 2024'!$H$12:$H$262,'estado terrenos '!$Q$5)</f>
        <v>0</v>
      </c>
    </row>
    <row r="31" spans="1:21" ht="21.95" customHeight="1" x14ac:dyDescent="0.35">
      <c r="A31" s="121" t="s">
        <v>51</v>
      </c>
      <c r="B31" s="239">
        <f>+COUNTIF('Seguimiento Julio 2024'!$C$12:$C$262,'estado terrenos '!A31)</f>
        <v>6</v>
      </c>
      <c r="C31" s="240">
        <f>+COUNTIFS('Seguimiento Julio 2024'!$C$12:$C$262,'estado terrenos '!A31,'Seguimiento Julio 2024'!$H$12:$H$262,$Z$4,'Seguimiento Julio 2024'!$Q$12:$Q$262,$AA$6)</f>
        <v>4</v>
      </c>
      <c r="D31" s="179">
        <f>+COUNTIFS('Seguimiento Julio 2024'!$C$12:$C$262,'estado terrenos '!A31,'Seguimiento Julio 2024'!$H$12:$H$262,$Z$5)+COUNTIFS('Seguimiento Julio 2024'!$C$12:$C$262,'estado terrenos '!A31,'Seguimiento Julio 2024'!$H$12:$H$262,$AA$5)+COUNTIFS('Seguimiento Julio 2024'!$C$12:$C$262,'estado terrenos '!A31,'Seguimiento Julio 2024'!$H$12:$H$262,$AB$5)+COUNTIFS('Seguimiento Julio 2024'!$C$12:$C$262,'estado terrenos '!A31,'Seguimiento Julio 2024'!$H$12:$H$262,$Z$6)+COUNTIFS('Seguimiento Julio 2024'!$C$12:$C$262,'estado terrenos '!A31,'Seguimiento Julio 2024'!$H$12:$H$262,$AA$4)+COUNTIFS('Seguimiento Julio 2024'!$C$12:$C$262,'estado terrenos '!A31,'Seguimiento Julio 2024'!$H$12:$H$262,$Y$4)</f>
        <v>2</v>
      </c>
      <c r="E31" s="178">
        <f>+COUNTIFS('Seguimiento Julio 2024'!$C$12:$C$262,'estado terrenos '!A31,'Seguimiento Julio 2024'!$H$12:$H$262,$AA$4)+COUNTIFS('Seguimiento Julio 2024'!$C$12:$C$262,'estado terrenos '!A31,'Seguimiento Julio 2024'!$H$12:$H$262,$Y$4)</f>
        <v>0</v>
      </c>
      <c r="F31" s="180">
        <f>+COUNTIFS('Seguimiento Julio 2024'!$C$12:$C$262,'estado terrenos '!A31,'Seguimiento Julio 2024'!$H$12:$H$262,$Z$5)+COUNTIFS('Seguimiento Julio 2024'!$C$12:$C$262,'estado terrenos '!A31,'Seguimiento Julio 2024'!$H$12:$H$262,$AA$5)+COUNTIFS('Seguimiento Julio 2024'!$C$12:$C$262,'estado terrenos '!A31,'Seguimiento Julio 2024'!$H$12:$H$262,$AB$5)+COUNTIFS('Seguimiento Julio 2024'!$C$12:$C$262,'estado terrenos '!A31,'Seguimiento Julio 2024'!$H$12:$H$262,$Z$6)</f>
        <v>2</v>
      </c>
      <c r="G31" s="179">
        <f>+COUNTIFS('Seguimiento Julio 2024'!$C$12:$C$262,'estado terrenos '!A31,'Seguimiento Julio 2024'!$H$12:$H$262,$AB$4)</f>
        <v>0</v>
      </c>
      <c r="H31" s="178">
        <f>+COUNTIFS('Seguimiento Julio 2024'!$C$12:$C$262,'estado terrenos '!A31,'Seguimiento Julio 2024'!$H$12:$H$262,'estado terrenos '!$AB$4,'Seguimiento Julio 2024'!$I$12:$I$262,$AF$4)</f>
        <v>0</v>
      </c>
      <c r="I31" s="178">
        <f>+COUNTIFS('Seguimiento Julio 2024'!$C$12:$C$262,'estado terrenos '!A31,'Seguimiento Julio 2024'!$H$12:$H$262,'estado terrenos '!$AB$4,'Seguimiento Julio 2024'!$I$12:$I$262,$AE$4)+COUNTIFS('Seguimiento Julio 2024'!$C$12:$C$262,'estado terrenos '!A31,'Seguimiento Julio 2024'!$H$12:$H$262,'estado terrenos '!$AB$4,'Seguimiento Julio 2024'!$I$12:$I$262,$AD$5)</f>
        <v>0</v>
      </c>
      <c r="J31" s="180">
        <f>+COUNTIFS('Seguimiento Julio 2024'!$C$12:$C$262,'estado terrenos '!A31,'Seguimiento Julio 2024'!$H$12:$H$262,'estado terrenos '!$AB$4,'Seguimiento Julio 2024'!$I$12:$I$262,$AD$4)+COUNTIFS('Seguimiento Julio 2024'!$C$12:$C$262,'estado terrenos '!A31,'Seguimiento Julio 2024'!$H$12:$H$262,'estado terrenos '!$AB$4,'Seguimiento Julio 2024'!$I$12:$I$262,'estado terrenos '!$AE$5)+COUNTIFS('Seguimiento Julio 2024'!$C$12:$C$262,'estado terrenos '!A31,'Seguimiento Julio 2024'!$H$12:$H$262,'estado terrenos '!$AB$4,'Seguimiento Julio 2024'!$I$12:$I$262,'estado terrenos '!$AF$5)</f>
        <v>0</v>
      </c>
      <c r="K31" s="221">
        <f t="shared" si="0"/>
        <v>0</v>
      </c>
      <c r="L31" s="269">
        <f t="shared" si="1"/>
        <v>0</v>
      </c>
      <c r="M31" s="269">
        <f t="shared" si="2"/>
        <v>0</v>
      </c>
      <c r="N31" s="329">
        <f t="shared" si="3"/>
        <v>0</v>
      </c>
      <c r="O31" s="221" t="e">
        <f>'Resumen Servicio operando PI'!B30</f>
        <v>#REF!</v>
      </c>
      <c r="P31" s="269" t="e">
        <f>'Resumen Servicio operando PI'!C30</f>
        <v>#REF!</v>
      </c>
      <c r="Q31" s="1"/>
      <c r="R31" s="1">
        <f>+COUNTIFS('Seguimiento Julio 2024'!$C$12:$C$262,'estado terrenos '!$A31,'Seguimiento Julio 2024'!$Q$12:$Q$262,'estado terrenos '!$R$5,'Seguimiento Julio 2024'!$Q$12:$Q$262,$R$4,'Seguimiento Julio 2024'!$H$12:$H$262,'estado terrenos '!$Q$5)</f>
        <v>0</v>
      </c>
      <c r="S31" s="1">
        <f>+COUNTIFS('Seguimiento Julio 2024'!$C$12:$C$262,'estado terrenos '!$A31,'Seguimiento Julio 2024'!$Q$12:$Q$262,'estado terrenos '!S$5,'Seguimiento Julio 2024'!$Q$12:$Q$262,S$4,'Seguimiento Julio 2024'!$H$12:$H$262,'estado terrenos '!$Q$5)</f>
        <v>0</v>
      </c>
      <c r="T31" s="1">
        <f>+COUNTIFS('Seguimiento Julio 2024'!$C$12:$C$262,'estado terrenos '!$A31,'Seguimiento Julio 2024'!$Q$12:$Q$262,'estado terrenos '!T$5,'Seguimiento Julio 2024'!$Q$12:$Q$262,T$4,'Seguimiento Julio 2024'!$H$12:$H$262,'estado terrenos '!$Q$5)</f>
        <v>0</v>
      </c>
      <c r="U31" s="1">
        <f>+COUNTIFS('Seguimiento Julio 2024'!$C$12:$C$262,'estado terrenos '!$A31,'Seguimiento Julio 2024'!$Q$12:$Q$262,'estado terrenos '!U$5,'Seguimiento Julio 2024'!$Q$12:$Q$262,U$4,'Seguimiento Julio 2024'!$H$12:$H$262,'estado terrenos '!$Q$5)</f>
        <v>0</v>
      </c>
    </row>
    <row r="32" spans="1:21" ht="21.95" customHeight="1" x14ac:dyDescent="0.35">
      <c r="A32" s="121" t="s">
        <v>52</v>
      </c>
      <c r="B32" s="239">
        <f>+COUNTIF('Seguimiento Julio 2024'!$C$12:$C$262,'estado terrenos '!A32)</f>
        <v>8</v>
      </c>
      <c r="C32" s="240">
        <f>+COUNTIFS('Seguimiento Julio 2024'!$C$12:$C$262,'estado terrenos '!A32,'Seguimiento Julio 2024'!$H$12:$H$262,$Z$4,'Seguimiento Julio 2024'!$Q$12:$Q$262,$AA$6)</f>
        <v>2</v>
      </c>
      <c r="D32" s="179">
        <f>+COUNTIFS('Seguimiento Julio 2024'!$C$12:$C$262,'estado terrenos '!A32,'Seguimiento Julio 2024'!$H$12:$H$262,$Z$5)+COUNTIFS('Seguimiento Julio 2024'!$C$12:$C$262,'estado terrenos '!A32,'Seguimiento Julio 2024'!$H$12:$H$262,$AA$5)+COUNTIFS('Seguimiento Julio 2024'!$C$12:$C$262,'estado terrenos '!A32,'Seguimiento Julio 2024'!$H$12:$H$262,$AB$5)+COUNTIFS('Seguimiento Julio 2024'!$C$12:$C$262,'estado terrenos '!A32,'Seguimiento Julio 2024'!$H$12:$H$262,$Z$6)+COUNTIFS('Seguimiento Julio 2024'!$C$12:$C$262,'estado terrenos '!A32,'Seguimiento Julio 2024'!$H$12:$H$262,$AA$4)+COUNTIFS('Seguimiento Julio 2024'!$C$12:$C$262,'estado terrenos '!A32,'Seguimiento Julio 2024'!$H$12:$H$262,$Y$4)</f>
        <v>5</v>
      </c>
      <c r="E32" s="178">
        <f>+COUNTIFS('Seguimiento Julio 2024'!$C$12:$C$262,'estado terrenos '!A32,'Seguimiento Julio 2024'!$H$12:$H$262,$AA$4)+COUNTIFS('Seguimiento Julio 2024'!$C$12:$C$262,'estado terrenos '!A32,'Seguimiento Julio 2024'!$H$12:$H$262,$Y$4)</f>
        <v>0</v>
      </c>
      <c r="F32" s="180">
        <f>+COUNTIFS('Seguimiento Julio 2024'!$C$12:$C$262,'estado terrenos '!A32,'Seguimiento Julio 2024'!$H$12:$H$262,$Z$5)+COUNTIFS('Seguimiento Julio 2024'!$C$12:$C$262,'estado terrenos '!A32,'Seguimiento Julio 2024'!$H$12:$H$262,$AA$5)+COUNTIFS('Seguimiento Julio 2024'!$C$12:$C$262,'estado terrenos '!A32,'Seguimiento Julio 2024'!$H$12:$H$262,$AB$5)+COUNTIFS('Seguimiento Julio 2024'!$C$12:$C$262,'estado terrenos '!A32,'Seguimiento Julio 2024'!$H$12:$H$262,$Z$6)</f>
        <v>5</v>
      </c>
      <c r="G32" s="179">
        <f>+COUNTIFS('Seguimiento Julio 2024'!$C$12:$C$262,'estado terrenos '!A32,'Seguimiento Julio 2024'!$H$12:$H$262,$AB$4)</f>
        <v>1</v>
      </c>
      <c r="H32" s="178">
        <f>+COUNTIFS('Seguimiento Julio 2024'!$C$12:$C$262,'estado terrenos '!A32,'Seguimiento Julio 2024'!$H$12:$H$262,'estado terrenos '!$AB$4,'Seguimiento Julio 2024'!$I$12:$I$262,$AF$4)</f>
        <v>0</v>
      </c>
      <c r="I32" s="178">
        <f>+COUNTIFS('Seguimiento Julio 2024'!$C$12:$C$262,'estado terrenos '!A32,'Seguimiento Julio 2024'!$H$12:$H$262,'estado terrenos '!$AB$4,'Seguimiento Julio 2024'!$I$12:$I$262,$AE$4)+COUNTIFS('Seguimiento Julio 2024'!$C$12:$C$262,'estado terrenos '!A32,'Seguimiento Julio 2024'!$H$12:$H$262,'estado terrenos '!$AB$4,'Seguimiento Julio 2024'!$I$12:$I$262,$AD$5)</f>
        <v>1</v>
      </c>
      <c r="J32" s="180">
        <f>+COUNTIFS('Seguimiento Julio 2024'!$C$12:$C$262,'estado terrenos '!A32,'Seguimiento Julio 2024'!$H$12:$H$262,'estado terrenos '!$AB$4,'Seguimiento Julio 2024'!$I$12:$I$262,$AD$4)+COUNTIFS('Seguimiento Julio 2024'!$C$12:$C$262,'estado terrenos '!A32,'Seguimiento Julio 2024'!$H$12:$H$262,'estado terrenos '!$AB$4,'Seguimiento Julio 2024'!$I$12:$I$262,'estado terrenos '!$AE$5)+COUNTIFS('Seguimiento Julio 2024'!$C$12:$C$262,'estado terrenos '!A32,'Seguimiento Julio 2024'!$H$12:$H$262,'estado terrenos '!$AB$4,'Seguimiento Julio 2024'!$I$12:$I$262,'estado terrenos '!$AF$5)</f>
        <v>0</v>
      </c>
      <c r="K32" s="221">
        <f t="shared" si="0"/>
        <v>0</v>
      </c>
      <c r="L32" s="269">
        <f t="shared" si="1"/>
        <v>0</v>
      </c>
      <c r="M32" s="269">
        <f t="shared" si="2"/>
        <v>0</v>
      </c>
      <c r="N32" s="329">
        <f t="shared" si="3"/>
        <v>0</v>
      </c>
      <c r="O32" s="221" t="e">
        <f>'Resumen Servicio operando PI'!B31</f>
        <v>#REF!</v>
      </c>
      <c r="P32" s="269" t="e">
        <f>'Resumen Servicio operando PI'!C31</f>
        <v>#REF!</v>
      </c>
      <c r="Q32" s="1"/>
      <c r="R32" s="1">
        <f>+COUNTIFS('Seguimiento Julio 2024'!$C$12:$C$262,'estado terrenos '!$A32,'Seguimiento Julio 2024'!$Q$12:$Q$262,'estado terrenos '!$R$5,'Seguimiento Julio 2024'!$Q$12:$Q$262,$R$4,'Seguimiento Julio 2024'!$H$12:$H$262,'estado terrenos '!$Q$5)</f>
        <v>0</v>
      </c>
      <c r="S32" s="1">
        <f>+COUNTIFS('Seguimiento Julio 2024'!$C$12:$C$262,'estado terrenos '!$A32,'Seguimiento Julio 2024'!$Q$12:$Q$262,'estado terrenos '!S$5,'Seguimiento Julio 2024'!$Q$12:$Q$262,S$4,'Seguimiento Julio 2024'!$H$12:$H$262,'estado terrenos '!$Q$5)</f>
        <v>0</v>
      </c>
      <c r="T32" s="1">
        <f>+COUNTIFS('Seguimiento Julio 2024'!$C$12:$C$262,'estado terrenos '!$A32,'Seguimiento Julio 2024'!$Q$12:$Q$262,'estado terrenos '!T$5,'Seguimiento Julio 2024'!$Q$12:$Q$262,T$4,'Seguimiento Julio 2024'!$H$12:$H$262,'estado terrenos '!$Q$5)</f>
        <v>0</v>
      </c>
      <c r="U32" s="1">
        <f>+COUNTIFS('Seguimiento Julio 2024'!$C$12:$C$262,'estado terrenos '!$A32,'Seguimiento Julio 2024'!$Q$12:$Q$262,'estado terrenos '!U$5,'Seguimiento Julio 2024'!$Q$12:$Q$262,U$4,'Seguimiento Julio 2024'!$H$12:$H$262,'estado terrenos '!$Q$5)</f>
        <v>0</v>
      </c>
    </row>
    <row r="33" spans="1:22" ht="21.95" customHeight="1" x14ac:dyDescent="0.35">
      <c r="A33" s="121" t="s">
        <v>71</v>
      </c>
      <c r="B33" s="239">
        <f>+COUNTIF('Seguimiento Julio 2024'!$C$12:$C$262,'estado terrenos '!A33)</f>
        <v>3</v>
      </c>
      <c r="C33" s="240">
        <f>+COUNTIFS('Seguimiento Julio 2024'!$C$12:$C$262,'estado terrenos '!A33,'Seguimiento Julio 2024'!$H$12:$H$262,$Z$4,'Seguimiento Julio 2024'!$Q$12:$Q$262,$AA$6)</f>
        <v>0</v>
      </c>
      <c r="D33" s="179">
        <f>+COUNTIFS('Seguimiento Julio 2024'!$C$12:$C$262,'estado terrenos '!A33,'Seguimiento Julio 2024'!$H$12:$H$262,$Z$5)+COUNTIFS('Seguimiento Julio 2024'!$C$12:$C$262,'estado terrenos '!A33,'Seguimiento Julio 2024'!$H$12:$H$262,$AA$5)+COUNTIFS('Seguimiento Julio 2024'!$C$12:$C$262,'estado terrenos '!A33,'Seguimiento Julio 2024'!$H$12:$H$262,$AB$5)+COUNTIFS('Seguimiento Julio 2024'!$C$12:$C$262,'estado terrenos '!A33,'Seguimiento Julio 2024'!$H$12:$H$262,$Z$6)+COUNTIFS('Seguimiento Julio 2024'!$C$12:$C$262,'estado terrenos '!A33,'Seguimiento Julio 2024'!$H$12:$H$262,$AA$4)+COUNTIFS('Seguimiento Julio 2024'!$C$12:$C$262,'estado terrenos '!A33,'Seguimiento Julio 2024'!$H$12:$H$262,$Y$4)</f>
        <v>2</v>
      </c>
      <c r="E33" s="178">
        <f>+COUNTIFS('Seguimiento Julio 2024'!$C$12:$C$262,'estado terrenos '!A33,'Seguimiento Julio 2024'!$H$12:$H$262,$AA$4)+COUNTIFS('Seguimiento Julio 2024'!$C$12:$C$262,'estado terrenos '!A33,'Seguimiento Julio 2024'!$H$12:$H$262,$Y$4)</f>
        <v>1</v>
      </c>
      <c r="F33" s="180">
        <f>+COUNTIFS('Seguimiento Julio 2024'!$C$12:$C$262,'estado terrenos '!A33,'Seguimiento Julio 2024'!$H$12:$H$262,$Z$5)+COUNTIFS('Seguimiento Julio 2024'!$C$12:$C$262,'estado terrenos '!A33,'Seguimiento Julio 2024'!$H$12:$H$262,$AA$5)+COUNTIFS('Seguimiento Julio 2024'!$C$12:$C$262,'estado terrenos '!A33,'Seguimiento Julio 2024'!$H$12:$H$262,$AB$5)+COUNTIFS('Seguimiento Julio 2024'!$C$12:$C$262,'estado terrenos '!A33,'Seguimiento Julio 2024'!$H$12:$H$262,$Z$6)</f>
        <v>1</v>
      </c>
      <c r="G33" s="179">
        <f>+COUNTIFS('Seguimiento Julio 2024'!$C$12:$C$262,'estado terrenos '!A33,'Seguimiento Julio 2024'!$H$12:$H$262,$AB$4)</f>
        <v>1</v>
      </c>
      <c r="H33" s="178">
        <f>+COUNTIFS('Seguimiento Julio 2024'!$C$12:$C$262,'estado terrenos '!A33,'Seguimiento Julio 2024'!$H$12:$H$262,'estado terrenos '!$AB$4,'Seguimiento Julio 2024'!$I$12:$I$262,$AF$4)</f>
        <v>0</v>
      </c>
      <c r="I33" s="178">
        <f>+COUNTIFS('Seguimiento Julio 2024'!$C$12:$C$262,'estado terrenos '!A33,'Seguimiento Julio 2024'!$H$12:$H$262,'estado terrenos '!$AB$4,'Seguimiento Julio 2024'!$I$12:$I$262,$AE$4)+COUNTIFS('Seguimiento Julio 2024'!$C$12:$C$262,'estado terrenos '!A33,'Seguimiento Julio 2024'!$H$12:$H$262,'estado terrenos '!$AB$4,'Seguimiento Julio 2024'!$I$12:$I$262,$AD$5)</f>
        <v>1</v>
      </c>
      <c r="J33" s="180">
        <f>+COUNTIFS('Seguimiento Julio 2024'!$C$12:$C$262,'estado terrenos '!A33,'Seguimiento Julio 2024'!$H$12:$H$262,'estado terrenos '!$AB$4,'Seguimiento Julio 2024'!$I$12:$I$262,$AD$4)+COUNTIFS('Seguimiento Julio 2024'!$C$12:$C$262,'estado terrenos '!A33,'Seguimiento Julio 2024'!$H$12:$H$262,'estado terrenos '!$AB$4,'Seguimiento Julio 2024'!$I$12:$I$262,'estado terrenos '!$AE$5)+COUNTIFS('Seguimiento Julio 2024'!$C$12:$C$262,'estado terrenos '!A33,'Seguimiento Julio 2024'!$H$12:$H$262,'estado terrenos '!$AB$4,'Seguimiento Julio 2024'!$I$12:$I$262,'estado terrenos '!$AF$5)</f>
        <v>0</v>
      </c>
      <c r="K33" s="221">
        <f t="shared" si="0"/>
        <v>0</v>
      </c>
      <c r="L33" s="269">
        <f t="shared" si="1"/>
        <v>0</v>
      </c>
      <c r="M33" s="269">
        <f t="shared" si="2"/>
        <v>0</v>
      </c>
      <c r="N33" s="329">
        <f t="shared" si="3"/>
        <v>0</v>
      </c>
      <c r="O33" s="221" t="e">
        <f>'Resumen Servicio operando PI'!B32</f>
        <v>#REF!</v>
      </c>
      <c r="P33" s="269" t="e">
        <f>'Resumen Servicio operando PI'!C32</f>
        <v>#REF!</v>
      </c>
      <c r="Q33" s="1"/>
      <c r="R33" s="1">
        <f>+COUNTIFS('Seguimiento Julio 2024'!$C$12:$C$262,'estado terrenos '!$A33,'Seguimiento Julio 2024'!$Q$12:$Q$262,'estado terrenos '!$R$5,'Seguimiento Julio 2024'!$Q$12:$Q$262,$R$4,'Seguimiento Julio 2024'!$H$12:$H$262,'estado terrenos '!$Q$5)</f>
        <v>0</v>
      </c>
      <c r="S33" s="1">
        <f>+COUNTIFS('Seguimiento Julio 2024'!$C$12:$C$262,'estado terrenos '!$A33,'Seguimiento Julio 2024'!$Q$12:$Q$262,'estado terrenos '!S$5,'Seguimiento Julio 2024'!$Q$12:$Q$262,S$4,'Seguimiento Julio 2024'!$H$12:$H$262,'estado terrenos '!$Q$5)</f>
        <v>0</v>
      </c>
      <c r="T33" s="1">
        <f>+COUNTIFS('Seguimiento Julio 2024'!$C$12:$C$262,'estado terrenos '!$A33,'Seguimiento Julio 2024'!$Q$12:$Q$262,'estado terrenos '!T$5,'Seguimiento Julio 2024'!$Q$12:$Q$262,T$4,'Seguimiento Julio 2024'!$H$12:$H$262,'estado terrenos '!$Q$5)</f>
        <v>0</v>
      </c>
      <c r="U33" s="1">
        <f>+COUNTIFS('Seguimiento Julio 2024'!$C$12:$C$262,'estado terrenos '!$A33,'Seguimiento Julio 2024'!$Q$12:$Q$262,'estado terrenos '!U$5,'Seguimiento Julio 2024'!$Q$12:$Q$262,U$4,'Seguimiento Julio 2024'!$H$12:$H$262,'estado terrenos '!$Q$5)</f>
        <v>0</v>
      </c>
    </row>
    <row r="34" spans="1:22" ht="21.95" customHeight="1" x14ac:dyDescent="0.35">
      <c r="A34" s="121" t="s">
        <v>54</v>
      </c>
      <c r="B34" s="239">
        <f>+COUNTIF('Seguimiento Julio 2024'!$C$12:$C$262,'estado terrenos '!A34)</f>
        <v>22</v>
      </c>
      <c r="C34" s="240">
        <f>+COUNTIFS('Seguimiento Julio 2024'!$C$12:$C$262,'estado terrenos '!A34,'Seguimiento Julio 2024'!$H$12:$H$262,$Z$4,'Seguimiento Julio 2024'!$Q$12:$Q$262,$AA$6)</f>
        <v>9</v>
      </c>
      <c r="D34" s="179">
        <f>+COUNTIFS('Seguimiento Julio 2024'!$C$12:$C$262,'estado terrenos '!A34,'Seguimiento Julio 2024'!$H$12:$H$262,$Z$5)+COUNTIFS('Seguimiento Julio 2024'!$C$12:$C$262,'estado terrenos '!A34,'Seguimiento Julio 2024'!$H$12:$H$262,$AA$5)+COUNTIFS('Seguimiento Julio 2024'!$C$12:$C$262,'estado terrenos '!A34,'Seguimiento Julio 2024'!$H$12:$H$262,$AB$5)+COUNTIFS('Seguimiento Julio 2024'!$C$12:$C$262,'estado terrenos '!A34,'Seguimiento Julio 2024'!$H$12:$H$262,$Z$6)+COUNTIFS('Seguimiento Julio 2024'!$C$12:$C$262,'estado terrenos '!A34,'Seguimiento Julio 2024'!$H$12:$H$262,$AA$4)+COUNTIFS('Seguimiento Julio 2024'!$C$12:$C$262,'estado terrenos '!A34,'Seguimiento Julio 2024'!$H$12:$H$262,$Y$4)</f>
        <v>11</v>
      </c>
      <c r="E34" s="178">
        <f>+COUNTIFS('Seguimiento Julio 2024'!$C$12:$C$262,'estado terrenos '!A34,'Seguimiento Julio 2024'!$H$12:$H$262,$AA$4)+COUNTIFS('Seguimiento Julio 2024'!$C$12:$C$262,'estado terrenos '!A34,'Seguimiento Julio 2024'!$H$12:$H$262,$Y$4)</f>
        <v>2</v>
      </c>
      <c r="F34" s="180">
        <f>+COUNTIFS('Seguimiento Julio 2024'!$C$12:$C$262,'estado terrenos '!A34,'Seguimiento Julio 2024'!$H$12:$H$262,$Z$5)+COUNTIFS('Seguimiento Julio 2024'!$C$12:$C$262,'estado terrenos '!A34,'Seguimiento Julio 2024'!$H$12:$H$262,$AA$5)+COUNTIFS('Seguimiento Julio 2024'!$C$12:$C$262,'estado terrenos '!A34,'Seguimiento Julio 2024'!$H$12:$H$262,$AB$5)+COUNTIFS('Seguimiento Julio 2024'!$C$12:$C$262,'estado terrenos '!A34,'Seguimiento Julio 2024'!$H$12:$H$262,$Z$6)</f>
        <v>9</v>
      </c>
      <c r="G34" s="179">
        <f>+COUNTIFS('Seguimiento Julio 2024'!$C$12:$C$262,'estado terrenos '!A34,'Seguimiento Julio 2024'!$H$12:$H$262,$AB$4)</f>
        <v>2</v>
      </c>
      <c r="H34" s="178">
        <f>+COUNTIFS('Seguimiento Julio 2024'!$C$12:$C$262,'estado terrenos '!A34,'Seguimiento Julio 2024'!$H$12:$H$262,'estado terrenos '!$AB$4,'Seguimiento Julio 2024'!$I$12:$I$262,$AF$4)</f>
        <v>1</v>
      </c>
      <c r="I34" s="178">
        <f>+COUNTIFS('Seguimiento Julio 2024'!$C$12:$C$262,'estado terrenos '!A34,'Seguimiento Julio 2024'!$H$12:$H$262,'estado terrenos '!$AB$4,'Seguimiento Julio 2024'!$I$12:$I$262,$AE$4)+COUNTIFS('Seguimiento Julio 2024'!$C$12:$C$262,'estado terrenos '!A34,'Seguimiento Julio 2024'!$H$12:$H$262,'estado terrenos '!$AB$4,'Seguimiento Julio 2024'!$I$12:$I$262,$AD$5)</f>
        <v>1</v>
      </c>
      <c r="J34" s="180">
        <f>+COUNTIFS('Seguimiento Julio 2024'!$C$12:$C$262,'estado terrenos '!A34,'Seguimiento Julio 2024'!$H$12:$H$262,'estado terrenos '!$AB$4,'Seguimiento Julio 2024'!$I$12:$I$262,$AD$4)+COUNTIFS('Seguimiento Julio 2024'!$C$12:$C$262,'estado terrenos '!A34,'Seguimiento Julio 2024'!$H$12:$H$262,'estado terrenos '!$AB$4,'Seguimiento Julio 2024'!$I$12:$I$262,'estado terrenos '!$AE$5)+COUNTIFS('Seguimiento Julio 2024'!$C$12:$C$262,'estado terrenos '!A34,'Seguimiento Julio 2024'!$H$12:$H$262,'estado terrenos '!$AB$4,'Seguimiento Julio 2024'!$I$12:$I$262,'estado terrenos '!$AF$5)</f>
        <v>0</v>
      </c>
      <c r="K34" s="221">
        <f t="shared" si="0"/>
        <v>0</v>
      </c>
      <c r="L34" s="269">
        <f t="shared" si="1"/>
        <v>0</v>
      </c>
      <c r="M34" s="269">
        <f t="shared" si="2"/>
        <v>0</v>
      </c>
      <c r="N34" s="329">
        <f t="shared" si="3"/>
        <v>0</v>
      </c>
      <c r="O34" s="221" t="e">
        <f>'Resumen Servicio operando PI'!B33</f>
        <v>#REF!</v>
      </c>
      <c r="P34" s="269" t="e">
        <f>'Resumen Servicio operando PI'!C33</f>
        <v>#REF!</v>
      </c>
      <c r="Q34" s="1"/>
      <c r="R34" s="1">
        <f>+COUNTIFS('Seguimiento Julio 2024'!$C$12:$C$262,'estado terrenos '!$A34,'Seguimiento Julio 2024'!$Q$12:$Q$262,'estado terrenos '!$R$5,'Seguimiento Julio 2024'!$Q$12:$Q$262,$R$4,'Seguimiento Julio 2024'!$H$12:$H$262,'estado terrenos '!$Q$5)</f>
        <v>0</v>
      </c>
      <c r="S34" s="1">
        <f>+COUNTIFS('Seguimiento Julio 2024'!$C$12:$C$262,'estado terrenos '!$A34,'Seguimiento Julio 2024'!$Q$12:$Q$262,'estado terrenos '!S$5,'Seguimiento Julio 2024'!$Q$12:$Q$262,S$4,'Seguimiento Julio 2024'!$H$12:$H$262,'estado terrenos '!$Q$5)</f>
        <v>0</v>
      </c>
      <c r="T34" s="1">
        <f>+COUNTIFS('Seguimiento Julio 2024'!$C$12:$C$262,'estado terrenos '!$A34,'Seguimiento Julio 2024'!$Q$12:$Q$262,'estado terrenos '!T$5,'Seguimiento Julio 2024'!$Q$12:$Q$262,T$4,'Seguimiento Julio 2024'!$H$12:$H$262,'estado terrenos '!$Q$5)</f>
        <v>0</v>
      </c>
      <c r="U34" s="1">
        <f>+COUNTIFS('Seguimiento Julio 2024'!$C$12:$C$262,'estado terrenos '!$A34,'Seguimiento Julio 2024'!$Q$12:$Q$262,'estado terrenos '!U$5,'Seguimiento Julio 2024'!$Q$12:$Q$262,U$4,'Seguimiento Julio 2024'!$H$12:$H$262,'estado terrenos '!$Q$5)</f>
        <v>0</v>
      </c>
    </row>
    <row r="35" spans="1:22" ht="21.95" customHeight="1" x14ac:dyDescent="0.35">
      <c r="A35" s="121" t="s">
        <v>73</v>
      </c>
      <c r="B35" s="239">
        <f>+COUNTIF('Seguimiento Julio 2024'!$C$12:$C$262,'estado terrenos '!A35)</f>
        <v>3</v>
      </c>
      <c r="C35" s="240">
        <f>+COUNTIFS('Seguimiento Julio 2024'!$C$12:$C$262,'estado terrenos '!A35,'Seguimiento Julio 2024'!$H$12:$H$262,$Z$4,'Seguimiento Julio 2024'!$Q$12:$Q$262,$AA$6)</f>
        <v>1</v>
      </c>
      <c r="D35" s="179">
        <f>+COUNTIFS('Seguimiento Julio 2024'!$C$12:$C$262,'estado terrenos '!A35,'Seguimiento Julio 2024'!$H$12:$H$262,$Z$5)+COUNTIFS('Seguimiento Julio 2024'!$C$12:$C$262,'estado terrenos '!A35,'Seguimiento Julio 2024'!$H$12:$H$262,$AA$5)+COUNTIFS('Seguimiento Julio 2024'!$C$12:$C$262,'estado terrenos '!A35,'Seguimiento Julio 2024'!$H$12:$H$262,$AB$5)+COUNTIFS('Seguimiento Julio 2024'!$C$12:$C$262,'estado terrenos '!A35,'Seguimiento Julio 2024'!$H$12:$H$262,$Z$6)+COUNTIFS('Seguimiento Julio 2024'!$C$12:$C$262,'estado terrenos '!A35,'Seguimiento Julio 2024'!$H$12:$H$262,$AA$4)+COUNTIFS('Seguimiento Julio 2024'!$C$12:$C$262,'estado terrenos '!A35,'Seguimiento Julio 2024'!$H$12:$H$262,$Y$4)</f>
        <v>2</v>
      </c>
      <c r="E35" s="178">
        <f>+COUNTIFS('Seguimiento Julio 2024'!$C$12:$C$262,'estado terrenos '!A35,'Seguimiento Julio 2024'!$H$12:$H$262,$AA$4)+COUNTIFS('Seguimiento Julio 2024'!$C$12:$C$262,'estado terrenos '!A35,'Seguimiento Julio 2024'!$H$12:$H$262,$Y$4)</f>
        <v>0</v>
      </c>
      <c r="F35" s="180">
        <f>+COUNTIFS('Seguimiento Julio 2024'!$C$12:$C$262,'estado terrenos '!A35,'Seguimiento Julio 2024'!$H$12:$H$262,$Z$5)+COUNTIFS('Seguimiento Julio 2024'!$C$12:$C$262,'estado terrenos '!A35,'Seguimiento Julio 2024'!$H$12:$H$262,$AA$5)+COUNTIFS('Seguimiento Julio 2024'!$C$12:$C$262,'estado terrenos '!A35,'Seguimiento Julio 2024'!$H$12:$H$262,$AB$5)+COUNTIFS('Seguimiento Julio 2024'!$C$12:$C$262,'estado terrenos '!A35,'Seguimiento Julio 2024'!$H$12:$H$262,$Z$6)</f>
        <v>2</v>
      </c>
      <c r="G35" s="179">
        <f>+COUNTIFS('Seguimiento Julio 2024'!$C$12:$C$262,'estado terrenos '!A35,'Seguimiento Julio 2024'!$H$12:$H$262,$AB$4)</f>
        <v>0</v>
      </c>
      <c r="H35" s="178">
        <f>+COUNTIFS('Seguimiento Julio 2024'!$C$12:$C$262,'estado terrenos '!A35,'Seguimiento Julio 2024'!$H$12:$H$262,'estado terrenos '!$AB$4,'Seguimiento Julio 2024'!$I$12:$I$262,$AF$4)</f>
        <v>0</v>
      </c>
      <c r="I35" s="178">
        <f>+COUNTIFS('Seguimiento Julio 2024'!$C$12:$C$262,'estado terrenos '!A35,'Seguimiento Julio 2024'!$H$12:$H$262,'estado terrenos '!$AB$4,'Seguimiento Julio 2024'!$I$12:$I$262,$AE$4)+COUNTIFS('Seguimiento Julio 2024'!$C$12:$C$262,'estado terrenos '!A35,'Seguimiento Julio 2024'!$H$12:$H$262,'estado terrenos '!$AB$4,'Seguimiento Julio 2024'!$I$12:$I$262,$AD$5)</f>
        <v>0</v>
      </c>
      <c r="J35" s="180">
        <f>+COUNTIFS('Seguimiento Julio 2024'!$C$12:$C$262,'estado terrenos '!A35,'Seguimiento Julio 2024'!$H$12:$H$262,'estado terrenos '!$AB$4,'Seguimiento Julio 2024'!$I$12:$I$262,$AD$4)+COUNTIFS('Seguimiento Julio 2024'!$C$12:$C$262,'estado terrenos '!A35,'Seguimiento Julio 2024'!$H$12:$H$262,'estado terrenos '!$AB$4,'Seguimiento Julio 2024'!$I$12:$I$262,'estado terrenos '!$AE$5)+COUNTIFS('Seguimiento Julio 2024'!$C$12:$C$262,'estado terrenos '!A35,'Seguimiento Julio 2024'!$H$12:$H$262,'estado terrenos '!$AB$4,'Seguimiento Julio 2024'!$I$12:$I$262,'estado terrenos '!$AF$5)</f>
        <v>0</v>
      </c>
      <c r="K35" s="221">
        <f t="shared" si="0"/>
        <v>0</v>
      </c>
      <c r="L35" s="269">
        <f t="shared" si="1"/>
        <v>0</v>
      </c>
      <c r="M35" s="269">
        <f t="shared" si="2"/>
        <v>0</v>
      </c>
      <c r="N35" s="329">
        <f t="shared" si="3"/>
        <v>0</v>
      </c>
      <c r="O35" s="221" t="e">
        <f>'Resumen Servicio operando PI'!B34</f>
        <v>#REF!</v>
      </c>
      <c r="P35" s="269" t="e">
        <f>'Resumen Servicio operando PI'!C34</f>
        <v>#REF!</v>
      </c>
      <c r="Q35" s="1"/>
      <c r="R35" s="1">
        <f>+COUNTIFS('Seguimiento Julio 2024'!$C$12:$C$262,'estado terrenos '!$A35,'Seguimiento Julio 2024'!$Q$12:$Q$262,'estado terrenos '!$R$5,'Seguimiento Julio 2024'!$Q$12:$Q$262,$R$4,'Seguimiento Julio 2024'!$H$12:$H$262,'estado terrenos '!$Q$5)</f>
        <v>0</v>
      </c>
      <c r="S35" s="1">
        <f>+COUNTIFS('Seguimiento Julio 2024'!$C$12:$C$262,'estado terrenos '!$A35,'Seguimiento Julio 2024'!$Q$12:$Q$262,'estado terrenos '!S$5,'Seguimiento Julio 2024'!$Q$12:$Q$262,S$4,'Seguimiento Julio 2024'!$H$12:$H$262,'estado terrenos '!$Q$5)</f>
        <v>0</v>
      </c>
      <c r="T35" s="1">
        <f>+COUNTIFS('Seguimiento Julio 2024'!$C$12:$C$262,'estado terrenos '!$A35,'Seguimiento Julio 2024'!$Q$12:$Q$262,'estado terrenos '!T$5,'Seguimiento Julio 2024'!$Q$12:$Q$262,T$4,'Seguimiento Julio 2024'!$H$12:$H$262,'estado terrenos '!$Q$5)</f>
        <v>0</v>
      </c>
      <c r="U35" s="1">
        <f>+COUNTIFS('Seguimiento Julio 2024'!$C$12:$C$262,'estado terrenos '!$A35,'Seguimiento Julio 2024'!$Q$12:$Q$262,'estado terrenos '!U$5,'Seguimiento Julio 2024'!$Q$12:$Q$262,U$4,'Seguimiento Julio 2024'!$H$12:$H$262,'estado terrenos '!$Q$5)</f>
        <v>0</v>
      </c>
    </row>
    <row r="36" spans="1:22" ht="21.95" customHeight="1" x14ac:dyDescent="0.35">
      <c r="A36" s="121" t="s">
        <v>56</v>
      </c>
      <c r="B36" s="239">
        <f>+COUNTIF('Seguimiento Julio 2024'!$C$12:$C$262,'estado terrenos '!A36)</f>
        <v>77</v>
      </c>
      <c r="C36" s="240">
        <f>+COUNTIFS('Seguimiento Julio 2024'!$C$12:$C$262,'estado terrenos '!A36,'Seguimiento Julio 2024'!$H$12:$H$262,$Z$4,'Seguimiento Julio 2024'!$Q$12:$Q$262,$AA$6)</f>
        <v>23</v>
      </c>
      <c r="D36" s="179">
        <f>+COUNTIFS('Seguimiento Julio 2024'!$C$12:$C$262,'estado terrenos '!A36,'Seguimiento Julio 2024'!$H$12:$H$262,$Z$5)+COUNTIFS('Seguimiento Julio 2024'!$C$12:$C$262,'estado terrenos '!A36,'Seguimiento Julio 2024'!$H$12:$H$262,$AA$5)+COUNTIFS('Seguimiento Julio 2024'!$C$12:$C$262,'estado terrenos '!A36,'Seguimiento Julio 2024'!$H$12:$H$262,$AB$5)+COUNTIFS('Seguimiento Julio 2024'!$C$12:$C$262,'estado terrenos '!A36,'Seguimiento Julio 2024'!$H$12:$H$262,$Z$6)+COUNTIFS('Seguimiento Julio 2024'!$C$12:$C$262,'estado terrenos '!A36,'Seguimiento Julio 2024'!$H$12:$H$262,$AA$4)+COUNTIFS('Seguimiento Julio 2024'!$C$12:$C$262,'estado terrenos '!A36,'Seguimiento Julio 2024'!$H$12:$H$262,$Y$4)</f>
        <v>39</v>
      </c>
      <c r="E36" s="178">
        <f>+COUNTIFS('Seguimiento Julio 2024'!$C$12:$C$262,'estado terrenos '!A36,'Seguimiento Julio 2024'!$H$12:$H$262,$AA$4)+COUNTIFS('Seguimiento Julio 2024'!$C$12:$C$262,'estado terrenos '!A36,'Seguimiento Julio 2024'!$H$12:$H$262,$Y$4)</f>
        <v>3</v>
      </c>
      <c r="F36" s="180">
        <f>+COUNTIFS('Seguimiento Julio 2024'!$C$12:$C$262,'estado terrenos '!A36,'Seguimiento Julio 2024'!$H$12:$H$262,$Z$5)+COUNTIFS('Seguimiento Julio 2024'!$C$12:$C$262,'estado terrenos '!A36,'Seguimiento Julio 2024'!$H$12:$H$262,$AA$5)+COUNTIFS('Seguimiento Julio 2024'!$C$12:$C$262,'estado terrenos '!A36,'Seguimiento Julio 2024'!$H$12:$H$262,$AB$5)+COUNTIFS('Seguimiento Julio 2024'!$C$12:$C$262,'estado terrenos '!A36,'Seguimiento Julio 2024'!$H$12:$H$262,$Z$6)</f>
        <v>36</v>
      </c>
      <c r="G36" s="179">
        <f>+COUNTIFS('Seguimiento Julio 2024'!$C$12:$C$262,'estado terrenos '!A36,'Seguimiento Julio 2024'!$H$12:$H$262,$AB$4)</f>
        <v>15</v>
      </c>
      <c r="H36" s="178">
        <f>+COUNTIFS('Seguimiento Julio 2024'!$C$12:$C$262,'estado terrenos '!A36,'Seguimiento Julio 2024'!$H$12:$H$262,'estado terrenos '!$AB$4,'Seguimiento Julio 2024'!$I$12:$I$262,$AF$4)</f>
        <v>6</v>
      </c>
      <c r="I36" s="178">
        <f>+COUNTIFS('Seguimiento Julio 2024'!$C$12:$C$262,'estado terrenos '!A36,'Seguimiento Julio 2024'!$H$12:$H$262,'estado terrenos '!$AB$4,'Seguimiento Julio 2024'!$I$12:$I$262,$AE$4)+COUNTIFS('Seguimiento Julio 2024'!$C$12:$C$262,'estado terrenos '!A36,'Seguimiento Julio 2024'!$H$12:$H$262,'estado terrenos '!$AB$4,'Seguimiento Julio 2024'!$I$12:$I$262,$AD$5)</f>
        <v>6</v>
      </c>
      <c r="J36" s="180">
        <f>+COUNTIFS('Seguimiento Julio 2024'!$C$12:$C$262,'estado terrenos '!A36,'Seguimiento Julio 2024'!$H$12:$H$262,'estado terrenos '!$AB$4,'Seguimiento Julio 2024'!$I$12:$I$262,$AD$4)+COUNTIFS('Seguimiento Julio 2024'!$C$12:$C$262,'estado terrenos '!A36,'Seguimiento Julio 2024'!$H$12:$H$262,'estado terrenos '!$AB$4,'Seguimiento Julio 2024'!$I$12:$I$262,'estado terrenos '!$AE$5)+COUNTIFS('Seguimiento Julio 2024'!$C$12:$C$262,'estado terrenos '!A36,'Seguimiento Julio 2024'!$H$12:$H$262,'estado terrenos '!$AB$4,'Seguimiento Julio 2024'!$I$12:$I$262,'estado terrenos '!$AF$5)</f>
        <v>3</v>
      </c>
      <c r="K36" s="221">
        <f t="shared" si="0"/>
        <v>0</v>
      </c>
      <c r="L36" s="269">
        <f t="shared" si="1"/>
        <v>0</v>
      </c>
      <c r="M36" s="269">
        <f t="shared" si="2"/>
        <v>0</v>
      </c>
      <c r="N36" s="329">
        <f t="shared" si="3"/>
        <v>0</v>
      </c>
      <c r="O36" s="221" t="e">
        <f>'Resumen Servicio operando PI'!B35</f>
        <v>#REF!</v>
      </c>
      <c r="P36" s="269" t="e">
        <f>'Resumen Servicio operando PI'!C35</f>
        <v>#REF!</v>
      </c>
      <c r="Q36" s="1"/>
      <c r="R36" s="1">
        <f>+COUNTIFS('Seguimiento Julio 2024'!$C$12:$C$262,'estado terrenos '!$A36,'Seguimiento Julio 2024'!$Q$12:$Q$262,'estado terrenos '!$R$5,'Seguimiento Julio 2024'!$Q$12:$Q$262,$R$4,'Seguimiento Julio 2024'!$H$12:$H$262,'estado terrenos '!$Q$5)</f>
        <v>0</v>
      </c>
      <c r="S36" s="1">
        <f>+COUNTIFS('Seguimiento Julio 2024'!$C$12:$C$262,'estado terrenos '!$A36,'Seguimiento Julio 2024'!$Q$12:$Q$262,'estado terrenos '!S$5,'Seguimiento Julio 2024'!$Q$12:$Q$262,S$4,'Seguimiento Julio 2024'!$H$12:$H$262,'estado terrenos '!$Q$5)</f>
        <v>0</v>
      </c>
      <c r="T36" s="1">
        <f>+COUNTIFS('Seguimiento Julio 2024'!$C$12:$C$262,'estado terrenos '!$A36,'Seguimiento Julio 2024'!$Q$12:$Q$262,'estado terrenos '!T$5,'Seguimiento Julio 2024'!$Q$12:$Q$262,T$4,'Seguimiento Julio 2024'!$H$12:$H$262,'estado terrenos '!$Q$5)</f>
        <v>0</v>
      </c>
      <c r="U36" s="1">
        <f>+COUNTIFS('Seguimiento Julio 2024'!$C$12:$C$262,'estado terrenos '!$A36,'Seguimiento Julio 2024'!$Q$12:$Q$262,'estado terrenos '!U$5,'Seguimiento Julio 2024'!$Q$12:$Q$262,U$4,'Seguimiento Julio 2024'!$H$12:$H$262,'estado terrenos '!$Q$5)</f>
        <v>0</v>
      </c>
    </row>
    <row r="37" spans="1:22" ht="21.75" thickBot="1" x14ac:dyDescent="0.4">
      <c r="A37" s="122" t="s">
        <v>57</v>
      </c>
      <c r="B37" s="241">
        <f>+COUNTIF('Seguimiento Julio 2024'!$C$12:$C$262,'estado terrenos '!A37)</f>
        <v>5</v>
      </c>
      <c r="C37" s="240">
        <f>+COUNTIFS('Seguimiento Julio 2024'!$C$12:$C$262,'estado terrenos '!A37,'Seguimiento Julio 2024'!$H$12:$H$262,$Z$4,'Seguimiento Julio 2024'!$Q$12:$Q$262,$AA$6)</f>
        <v>2</v>
      </c>
      <c r="D37" s="330">
        <f>+COUNTIFS('Seguimiento Julio 2024'!$C$12:$C$262,'estado terrenos '!A37,'Seguimiento Julio 2024'!$H$12:$H$262,$Z$5)+COUNTIFS('Seguimiento Julio 2024'!$C$12:$C$262,'estado terrenos '!A37,'Seguimiento Julio 2024'!$H$12:$H$262,$AA$5)+COUNTIFS('Seguimiento Julio 2024'!$C$12:$C$262,'estado terrenos '!A37,'Seguimiento Julio 2024'!$H$12:$H$262,$AB$5)+COUNTIFS('Seguimiento Julio 2024'!$C$12:$C$262,'estado terrenos '!A37,'Seguimiento Julio 2024'!$H$12:$H$262,$Z$6)+COUNTIFS('Seguimiento Julio 2024'!$C$12:$C$262,'estado terrenos '!A37,'Seguimiento Julio 2024'!$H$12:$H$262,$AA$4)+COUNTIFS('Seguimiento Julio 2024'!$C$12:$C$262,'estado terrenos '!A37,'Seguimiento Julio 2024'!$H$12:$H$262,$Y$4)</f>
        <v>3</v>
      </c>
      <c r="E37" s="181">
        <f>+COUNTIFS('Seguimiento Julio 2024'!$C$12:$C$262,'estado terrenos '!A37,'Seguimiento Julio 2024'!$H$12:$H$262,$AA$4)+COUNTIFS('Seguimiento Julio 2024'!$C$12:$C$262,'estado terrenos '!A37,'Seguimiento Julio 2024'!$H$12:$H$262,$Y$4)</f>
        <v>0</v>
      </c>
      <c r="F37" s="331">
        <f>+COUNTIFS('Seguimiento Julio 2024'!$C$12:$C$262,'estado terrenos '!A37,'Seguimiento Julio 2024'!$H$12:$H$262,$Z$5)+COUNTIFS('Seguimiento Julio 2024'!$C$12:$C$262,'estado terrenos '!A37,'Seguimiento Julio 2024'!$H$12:$H$262,$AA$5)+COUNTIFS('Seguimiento Julio 2024'!$C$12:$C$262,'estado terrenos '!A37,'Seguimiento Julio 2024'!$H$12:$H$262,$AB$5)+COUNTIFS('Seguimiento Julio 2024'!$C$12:$C$262,'estado terrenos '!A37,'Seguimiento Julio 2024'!$H$12:$H$262,$Z$6)</f>
        <v>3</v>
      </c>
      <c r="G37" s="330">
        <f>+COUNTIFS('Seguimiento Julio 2024'!$C$12:$C$262,'estado terrenos '!A37,'Seguimiento Julio 2024'!$H$12:$H$262,$AB$4)</f>
        <v>0</v>
      </c>
      <c r="H37" s="181">
        <f>+COUNTIFS('Seguimiento Julio 2024'!$C$12:$C$262,'estado terrenos '!A37,'Seguimiento Julio 2024'!$H$12:$H$262,'estado terrenos '!$AB$4,'Seguimiento Julio 2024'!$I$12:$I$262,$AF$4)</f>
        <v>0</v>
      </c>
      <c r="I37" s="181">
        <f>+COUNTIFS('Seguimiento Julio 2024'!$C$12:$C$262,'estado terrenos '!A37,'Seguimiento Julio 2024'!$H$12:$H$262,'estado terrenos '!$AB$4,'Seguimiento Julio 2024'!$I$12:$I$262,$AE$4)+COUNTIFS('Seguimiento Julio 2024'!$C$12:$C$262,'estado terrenos '!A37,'Seguimiento Julio 2024'!$H$12:$H$262,'estado terrenos '!$AB$4,'Seguimiento Julio 2024'!$I$12:$I$262,$AD$5)</f>
        <v>0</v>
      </c>
      <c r="J37" s="331">
        <f>+COUNTIFS('Seguimiento Julio 2024'!$C$12:$C$262,'estado terrenos '!A37,'Seguimiento Julio 2024'!$H$12:$H$262,'estado terrenos '!$AB$4,'Seguimiento Julio 2024'!$I$12:$I$262,$AD$4)+COUNTIFS('Seguimiento Julio 2024'!$C$12:$C$262,'estado terrenos '!A37,'Seguimiento Julio 2024'!$H$12:$H$262,'estado terrenos '!$AB$4,'Seguimiento Julio 2024'!$I$12:$I$262,'estado terrenos '!$AE$5)+COUNTIFS('Seguimiento Julio 2024'!$C$12:$C$262,'estado terrenos '!A37,'Seguimiento Julio 2024'!$H$12:$H$262,'estado terrenos '!$AB$4,'Seguimiento Julio 2024'!$I$12:$I$262,'estado terrenos '!$AF$5)</f>
        <v>0</v>
      </c>
      <c r="K37" s="270">
        <f t="shared" si="0"/>
        <v>0</v>
      </c>
      <c r="L37" s="271">
        <f>S37</f>
        <v>0</v>
      </c>
      <c r="M37" s="271">
        <f>T37</f>
        <v>0</v>
      </c>
      <c r="N37" s="332">
        <f>U37</f>
        <v>0</v>
      </c>
      <c r="O37" s="270" t="e">
        <f>'Resumen Servicio operando PI'!B36</f>
        <v>#REF!</v>
      </c>
      <c r="P37" s="271" t="e">
        <f>'Resumen Servicio operando PI'!C36</f>
        <v>#REF!</v>
      </c>
      <c r="Q37" s="1"/>
      <c r="R37" s="1">
        <f>+COUNTIFS('Seguimiento Julio 2024'!$C$12:$C$262,'estado terrenos '!$A37,'Seguimiento Julio 2024'!$Q$12:$Q$262,'estado terrenos '!$R$5,'Seguimiento Julio 2024'!$Q$12:$Q$262,$R$4,'Seguimiento Julio 2024'!$H$12:$H$262,'estado terrenos '!$Q$5)</f>
        <v>0</v>
      </c>
      <c r="S37" s="1">
        <f>+COUNTIFS('Seguimiento Julio 2024'!$C$12:$C$262,'estado terrenos '!$A37,'Seguimiento Julio 2024'!$Q$12:$Q$262,'estado terrenos '!S$5,'Seguimiento Julio 2024'!$Q$12:$Q$262,S$4,'Seguimiento Julio 2024'!$H$12:$H$262,'estado terrenos '!$Q$5)</f>
        <v>0</v>
      </c>
      <c r="T37" s="1">
        <f>+COUNTIFS('Seguimiento Julio 2024'!$C$12:$C$262,'estado terrenos '!$A37,'Seguimiento Julio 2024'!$Q$12:$Q$262,'estado terrenos '!T$5,'Seguimiento Julio 2024'!$Q$12:$Q$262,T$4,'Seguimiento Julio 2024'!$H$12:$H$262,'estado terrenos '!$Q$5)</f>
        <v>0</v>
      </c>
      <c r="U37" s="1">
        <f>+COUNTIFS('Seguimiento Julio 2024'!$C$12:$C$262,'estado terrenos '!$A37,'Seguimiento Julio 2024'!$Q$12:$Q$262,'estado terrenos '!U$5,'Seguimiento Julio 2024'!$Q$12:$Q$262,U$4,'Seguimiento Julio 2024'!$H$12:$H$262,'estado terrenos '!$Q$5)</f>
        <v>0</v>
      </c>
    </row>
    <row r="38" spans="1:22" s="7" customFormat="1" ht="29.25" customHeight="1" thickTop="1" x14ac:dyDescent="0.25">
      <c r="A38" s="123" t="s">
        <v>58</v>
      </c>
      <c r="B38" s="242">
        <f t="shared" ref="B38:K38" si="4">SUM(B6:B37)</f>
        <v>251</v>
      </c>
      <c r="C38" s="243">
        <f t="shared" si="4"/>
        <v>88</v>
      </c>
      <c r="D38" s="333">
        <f t="shared" si="4"/>
        <v>120</v>
      </c>
      <c r="E38" s="334">
        <f t="shared" si="4"/>
        <v>14</v>
      </c>
      <c r="F38" s="223">
        <f t="shared" si="4"/>
        <v>106</v>
      </c>
      <c r="G38" s="333">
        <f>SUM(G6:G37)</f>
        <v>43</v>
      </c>
      <c r="H38" s="334">
        <f t="shared" si="4"/>
        <v>18</v>
      </c>
      <c r="I38" s="334">
        <f t="shared" si="4"/>
        <v>19</v>
      </c>
      <c r="J38" s="223">
        <f>SUM(J6:J37)</f>
        <v>6</v>
      </c>
      <c r="K38" s="223">
        <f t="shared" si="4"/>
        <v>0</v>
      </c>
      <c r="L38" s="223">
        <f t="shared" ref="L38:N38" si="5">SUM(L6:L37)</f>
        <v>0</v>
      </c>
      <c r="M38" s="223">
        <f t="shared" si="5"/>
        <v>0</v>
      </c>
      <c r="N38" s="223">
        <f t="shared" si="5"/>
        <v>0</v>
      </c>
      <c r="O38" s="224" t="e">
        <f>SUM(O6:O37)</f>
        <v>#REF!</v>
      </c>
      <c r="P38" s="225" t="e">
        <f>SUM(P6:P37)</f>
        <v>#REF!</v>
      </c>
      <c r="Q38" s="38"/>
      <c r="R38" s="182">
        <f>SUM(R6:R37)</f>
        <v>0</v>
      </c>
      <c r="S38" s="183">
        <f t="shared" ref="S38:U38" si="6">SUM(S6:S37)</f>
        <v>0</v>
      </c>
      <c r="T38" s="183">
        <f t="shared" si="6"/>
        <v>0</v>
      </c>
      <c r="U38" s="183">
        <f t="shared" si="6"/>
        <v>0</v>
      </c>
      <c r="V38" s="38"/>
    </row>
    <row r="39" spans="1:22" ht="18.75" hidden="1" x14ac:dyDescent="0.3">
      <c r="B39" s="1">
        <f>+C38+D38+G38</f>
        <v>251</v>
      </c>
      <c r="D39" s="1">
        <f>+E38+F38</f>
        <v>120</v>
      </c>
      <c r="G39" s="191">
        <f>+H38+I38+J38</f>
        <v>43</v>
      </c>
      <c r="K39" s="1"/>
      <c r="L39" s="1"/>
      <c r="M39" s="1"/>
      <c r="N39" s="1"/>
      <c r="O39" s="1"/>
    </row>
    <row r="40" spans="1:22" hidden="1" x14ac:dyDescent="0.25">
      <c r="D40" s="1">
        <f>+K38+L38+M38+N38</f>
        <v>0</v>
      </c>
      <c r="E40" s="41"/>
      <c r="G40" s="1"/>
      <c r="K40" s="1"/>
      <c r="O40" t="e">
        <f>+O38+P38</f>
        <v>#REF!</v>
      </c>
    </row>
    <row r="41" spans="1:22" hidden="1" x14ac:dyDescent="0.25">
      <c r="I41" s="6"/>
    </row>
    <row r="43" spans="1:22" ht="14.25" customHeight="1" x14ac:dyDescent="0.25"/>
  </sheetData>
  <sheetProtection formatCells="0" selectLockedCells="1"/>
  <sortState xmlns:xlrd2="http://schemas.microsoft.com/office/spreadsheetml/2017/richdata2" ref="A5:A36">
    <sortCondition ref="A5"/>
  </sortState>
  <mergeCells count="8">
    <mergeCell ref="B4:C4"/>
    <mergeCell ref="AH3:AJ3"/>
    <mergeCell ref="B1:K1"/>
    <mergeCell ref="AD3:AF3"/>
    <mergeCell ref="D3:I3"/>
    <mergeCell ref="K4:N4"/>
    <mergeCell ref="O4:P4"/>
    <mergeCell ref="Y3:AB3"/>
  </mergeCells>
  <dataValidations count="1">
    <dataValidation type="list" allowBlank="1" showInputMessage="1" showErrorMessage="1" sqref="AH4:AJ4 AH5" xr:uid="{00000000-0002-0000-0500-000000000000}">
      <formula1>$A$10:$A$14</formula1>
    </dataValidation>
  </dataValidations>
  <printOptions horizontalCentered="1"/>
  <pageMargins left="0" right="0" top="0.31496062992125984" bottom="0" header="0.31496062992125984" footer="0.11811023622047245"/>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9" tint="0.39997558519241921"/>
    <pageSetUpPr fitToPage="1"/>
  </sheetPr>
  <dimension ref="A1:Y263"/>
  <sheetViews>
    <sheetView topLeftCell="D1" zoomScale="84" zoomScaleNormal="84" workbookViewId="0">
      <selection activeCell="F9" sqref="F9:K9"/>
    </sheetView>
  </sheetViews>
  <sheetFormatPr baseColWidth="10" defaultColWidth="11.42578125" defaultRowHeight="15.75" outlineLevelCol="2" x14ac:dyDescent="0.25"/>
  <cols>
    <col min="1" max="1" width="7.28515625" style="1" customWidth="1"/>
    <col min="2" max="2" width="23.42578125" style="1" customWidth="1" outlineLevel="1"/>
    <col min="3" max="3" width="21.7109375" style="1" customWidth="1"/>
    <col min="4" max="4" width="24.140625" style="8" customWidth="1"/>
    <col min="5" max="5" width="19" style="3" customWidth="1"/>
    <col min="6" max="6" width="26.7109375" style="3" customWidth="1"/>
    <col min="7" max="7" width="27.5703125" style="8" customWidth="1" outlineLevel="2"/>
    <col min="8" max="8" width="23.28515625" style="3" customWidth="1" outlineLevel="2"/>
    <col min="9" max="9" width="18.42578125" style="215" customWidth="1" outlineLevel="1"/>
    <col min="10" max="10" width="35.28515625" style="247" customWidth="1" outlineLevel="1"/>
    <col min="11" max="11" width="27" style="49" customWidth="1" outlineLevel="1"/>
    <col min="12" max="12" width="8.85546875" style="49" customWidth="1" outlineLevel="1"/>
    <col min="13" max="13" width="32" style="302" customWidth="1" outlineLevel="1"/>
    <col min="14" max="14" width="29.5703125" style="3" customWidth="1" outlineLevel="1"/>
    <col min="15" max="15" width="29.7109375" style="3" customWidth="1" outlineLevel="1"/>
    <col min="16" max="16" width="9" style="3" customWidth="1" outlineLevel="1"/>
    <col min="17" max="17" width="16.42578125" style="14" customWidth="1"/>
    <col min="18" max="21" width="6.5703125" customWidth="1" outlineLevel="1"/>
    <col min="23" max="23" width="17.140625" customWidth="1"/>
    <col min="24" max="24" width="17.5703125" customWidth="1"/>
    <col min="25" max="25" width="16.140625" customWidth="1"/>
  </cols>
  <sheetData>
    <row r="1" spans="1:25" ht="15" customHeight="1" x14ac:dyDescent="0.25">
      <c r="A1" s="5"/>
      <c r="B1" s="33"/>
      <c r="C1" s="33"/>
      <c r="E1" s="33"/>
      <c r="F1" s="5"/>
      <c r="G1" s="5"/>
      <c r="H1" s="33"/>
      <c r="I1" s="214"/>
      <c r="J1" s="246"/>
      <c r="K1" s="116"/>
      <c r="L1" s="207"/>
      <c r="M1" s="301"/>
      <c r="N1" s="5"/>
      <c r="O1" s="5"/>
      <c r="P1" s="5"/>
      <c r="Q1" s="9"/>
    </row>
    <row r="2" spans="1:25" ht="23.25" customHeight="1" x14ac:dyDescent="0.25">
      <c r="A2" s="5"/>
      <c r="B2" s="33"/>
      <c r="D2" s="172"/>
      <c r="E2" s="380" t="s">
        <v>106</v>
      </c>
      <c r="F2" s="380"/>
      <c r="G2" s="380"/>
      <c r="H2" s="380"/>
      <c r="I2" s="380"/>
      <c r="J2" s="380"/>
      <c r="K2" s="380"/>
      <c r="L2" s="380"/>
      <c r="M2" s="380"/>
      <c r="N2" s="98"/>
      <c r="O2" s="98"/>
      <c r="P2" s="43"/>
      <c r="Q2" s="55"/>
    </row>
    <row r="3" spans="1:25" ht="19.5" customHeight="1" x14ac:dyDescent="0.25">
      <c r="B3" s="33"/>
      <c r="E3" s="380"/>
      <c r="F3" s="380"/>
      <c r="G3" s="380"/>
      <c r="H3" s="380"/>
      <c r="I3" s="380"/>
      <c r="J3" s="380"/>
      <c r="K3" s="380"/>
      <c r="L3" s="380"/>
      <c r="M3" s="380"/>
      <c r="N3" s="43"/>
      <c r="O3" s="43"/>
      <c r="P3" s="56"/>
      <c r="Q3" s="57"/>
    </row>
    <row r="4" spans="1:25" ht="7.9" customHeight="1" x14ac:dyDescent="0.25">
      <c r="B4" s="33"/>
      <c r="C4" s="33"/>
      <c r="D4" s="33"/>
      <c r="E4" s="33"/>
      <c r="F4" s="5"/>
      <c r="G4" s="5"/>
      <c r="H4" s="33"/>
      <c r="I4" s="214"/>
      <c r="J4" s="246"/>
      <c r="K4" s="116"/>
      <c r="L4" s="207"/>
      <c r="M4" s="301"/>
      <c r="N4" s="5"/>
      <c r="O4" s="5"/>
    </row>
    <row r="5" spans="1:25" ht="7.9" customHeight="1" x14ac:dyDescent="0.25">
      <c r="B5" s="33"/>
      <c r="C5" s="33"/>
      <c r="D5" s="380" t="s">
        <v>559</v>
      </c>
      <c r="E5" s="380"/>
      <c r="F5" s="380"/>
      <c r="G5" s="380"/>
      <c r="H5" s="380"/>
      <c r="I5" s="380"/>
      <c r="J5" s="380"/>
      <c r="K5" s="380"/>
      <c r="L5" s="380"/>
      <c r="M5" s="380"/>
      <c r="N5" s="5"/>
      <c r="O5" s="5"/>
    </row>
    <row r="6" spans="1:25" ht="7.9" customHeight="1" x14ac:dyDescent="0.25">
      <c r="B6" s="33"/>
      <c r="C6" s="33"/>
      <c r="D6" s="380"/>
      <c r="E6" s="380"/>
      <c r="F6" s="380"/>
      <c r="G6" s="380"/>
      <c r="H6" s="380"/>
      <c r="I6" s="380"/>
      <c r="J6" s="380"/>
      <c r="K6" s="380"/>
      <c r="L6" s="380"/>
      <c r="M6" s="380"/>
      <c r="N6" s="5"/>
      <c r="O6" s="5"/>
    </row>
    <row r="7" spans="1:25" ht="7.9" customHeight="1" x14ac:dyDescent="0.25">
      <c r="B7" s="33"/>
      <c r="C7" s="33"/>
      <c r="D7" s="380"/>
      <c r="E7" s="380"/>
      <c r="F7" s="380"/>
      <c r="G7" s="380"/>
      <c r="H7" s="380"/>
      <c r="I7" s="380"/>
      <c r="J7" s="380"/>
      <c r="K7" s="380"/>
      <c r="L7" s="380"/>
      <c r="M7" s="380"/>
      <c r="N7" s="5"/>
      <c r="O7" s="5"/>
    </row>
    <row r="8" spans="1:25" ht="27.75" customHeight="1" x14ac:dyDescent="0.25">
      <c r="B8" s="41"/>
      <c r="D8" s="395"/>
      <c r="E8" s="395"/>
      <c r="F8" s="397"/>
      <c r="G8" s="397"/>
      <c r="H8" s="397"/>
      <c r="I8" s="397"/>
      <c r="J8" s="397"/>
      <c r="K8" s="135"/>
      <c r="L8" s="208"/>
      <c r="N8" s="56"/>
      <c r="O8" s="56"/>
    </row>
    <row r="9" spans="1:25" ht="24" customHeight="1" x14ac:dyDescent="0.25">
      <c r="B9" s="15"/>
      <c r="F9" s="396" t="s">
        <v>741</v>
      </c>
      <c r="G9" s="396"/>
      <c r="H9" s="396"/>
      <c r="I9" s="396"/>
      <c r="J9" s="396"/>
      <c r="K9" s="396"/>
      <c r="L9" s="208"/>
      <c r="M9" s="303"/>
      <c r="N9" s="94"/>
    </row>
    <row r="10" spans="1:25" ht="20.25" x14ac:dyDescent="0.25">
      <c r="K10" s="135"/>
      <c r="L10" s="208"/>
    </row>
    <row r="11" spans="1:25" s="2" customFormat="1" ht="42.75" customHeight="1" x14ac:dyDescent="0.2">
      <c r="A11" s="17" t="s">
        <v>107</v>
      </c>
      <c r="B11" s="17" t="s">
        <v>108</v>
      </c>
      <c r="C11" s="17" t="s">
        <v>74</v>
      </c>
      <c r="D11" s="17" t="s">
        <v>109</v>
      </c>
      <c r="E11" s="17" t="s">
        <v>110</v>
      </c>
      <c r="F11" s="17" t="s">
        <v>111</v>
      </c>
      <c r="G11" s="17" t="s">
        <v>567</v>
      </c>
      <c r="H11" s="17" t="s">
        <v>78</v>
      </c>
      <c r="I11" s="17" t="s">
        <v>113</v>
      </c>
      <c r="J11" s="17" t="s">
        <v>114</v>
      </c>
      <c r="K11" s="17" t="s">
        <v>115</v>
      </c>
      <c r="L11" s="17" t="s">
        <v>561</v>
      </c>
      <c r="M11" s="304" t="s">
        <v>116</v>
      </c>
      <c r="N11" s="17" t="s">
        <v>117</v>
      </c>
      <c r="O11" s="17" t="s">
        <v>118</v>
      </c>
      <c r="P11" s="17" t="s">
        <v>119</v>
      </c>
      <c r="Q11" s="18" t="s">
        <v>120</v>
      </c>
      <c r="R11" s="10" t="s">
        <v>96</v>
      </c>
      <c r="S11" s="10" t="s">
        <v>100</v>
      </c>
      <c r="T11" s="10" t="s">
        <v>101</v>
      </c>
      <c r="U11" s="10" t="s">
        <v>121</v>
      </c>
      <c r="W11" s="384"/>
      <c r="X11" s="384"/>
      <c r="Y11" s="384"/>
    </row>
    <row r="12" spans="1:25" s="7" customFormat="1" ht="78.75" x14ac:dyDescent="0.25">
      <c r="A12" s="192">
        <v>1</v>
      </c>
      <c r="B12" s="137" t="s">
        <v>122</v>
      </c>
      <c r="C12" s="137" t="s">
        <v>123</v>
      </c>
      <c r="D12" s="137" t="s">
        <v>123</v>
      </c>
      <c r="E12" s="137" t="s">
        <v>124</v>
      </c>
      <c r="F12" s="143" t="s">
        <v>125</v>
      </c>
      <c r="G12" s="138" t="s">
        <v>126</v>
      </c>
      <c r="H12" s="137" t="str">
        <f>'[1]Matriz Mensual Alexis-Sept. 20 '!H11</f>
        <v>Inaugurado</v>
      </c>
      <c r="I12" s="20">
        <f>'[1]Matriz Mensual Alexis-Sept. 20 '!I11</f>
        <v>0</v>
      </c>
      <c r="J12" s="361">
        <f>'[1]Matriz Mensual Alexis-Sept. 20 '!J11</f>
        <v>0</v>
      </c>
      <c r="K12" s="353" t="str">
        <f>'[1]Matriz Mensual Alexis-Sept. 20 '!K11</f>
        <v>18.457552, -70.72747</v>
      </c>
      <c r="L12" s="353" t="str">
        <f>'[1]Matriz Mensual Alexis-Sept. 20 '!L11</f>
        <v>2 N</v>
      </c>
      <c r="M12" s="21" t="str">
        <f>'[1]Matriz Mensual Alexis-Sept. 20 '!M11</f>
        <v>MDM Arquit., EIRL / Mario Delgado Malagón</v>
      </c>
      <c r="N12" s="21" t="str">
        <f>'[1]Matriz Mensual Alexis-Sept. 20 '!N11</f>
        <v>809-712-8343 / 829-9700155</v>
      </c>
      <c r="O12" s="21" t="str">
        <f>'[1]Matriz Mensual Alexis-Sept. 20 '!O11</f>
        <v>mariodelgadomalagon@yahoo.com</v>
      </c>
      <c r="P12" s="21" t="str">
        <f>'[1]Matriz Mensual Alexis-Sept. 20 '!P11</f>
        <v>1ER</v>
      </c>
      <c r="Q12" s="370">
        <f>'[1]Matriz Mensual Alexis-Sept. 20 '!Q11</f>
        <v>1</v>
      </c>
      <c r="W12" s="4"/>
      <c r="X12" s="4"/>
      <c r="Y12" s="4"/>
    </row>
    <row r="13" spans="1:25" s="7" customFormat="1" ht="78.75" x14ac:dyDescent="0.25">
      <c r="A13" s="190">
        <f>+A12+1</f>
        <v>2</v>
      </c>
      <c r="B13" s="139" t="s">
        <v>122</v>
      </c>
      <c r="C13" s="137" t="s">
        <v>123</v>
      </c>
      <c r="D13" s="139" t="s">
        <v>123</v>
      </c>
      <c r="E13" s="139" t="s">
        <v>124</v>
      </c>
      <c r="F13" s="140" t="s">
        <v>127</v>
      </c>
      <c r="G13" s="140" t="s">
        <v>128</v>
      </c>
      <c r="H13" s="139" t="str">
        <f>'[1]Matriz Mensual Alexis-Sept. 20 '!H12</f>
        <v>Inaugurado</v>
      </c>
      <c r="I13" s="22">
        <f>'[1]Matriz Mensual Alexis-Sept. 20 '!I12</f>
        <v>0</v>
      </c>
      <c r="J13" s="337" t="str">
        <f>'[1]Matriz Mensual Alexis-Sept. 20 '!J12</f>
        <v>CAIPI inaugurado. Este Caipi fue inaugurado el 28 de julio de 2020 y solo falta la instalacion de los equipos de cocina y algunos detalles menores</v>
      </c>
      <c r="K13" s="355" t="str">
        <f>'[1]Matriz Mensual Alexis-Sept. 20 '!K12</f>
        <v>18.46111, -70.74270</v>
      </c>
      <c r="L13" s="355" t="str">
        <f>'[1]Matriz Mensual Alexis-Sept. 20 '!L12</f>
        <v>1 N</v>
      </c>
      <c r="M13" s="140" t="str">
        <f>'[1]Matriz Mensual Alexis-Sept. 20 '!M12</f>
        <v>Ramón Oscar Ditren Perdomo</v>
      </c>
      <c r="N13" s="140" t="str">
        <f>'[1]Matriz Mensual Alexis-Sept. 20 '!N12</f>
        <v>829-701-4435</v>
      </c>
      <c r="O13" s="140" t="str">
        <f>'[1]Matriz Mensual Alexis-Sept. 20 '!O12</f>
        <v>oditren@hotmail.com</v>
      </c>
      <c r="P13" s="140" t="str">
        <f>'[1]Matriz Mensual Alexis-Sept. 20 '!P12</f>
        <v>1ER</v>
      </c>
      <c r="Q13" s="371">
        <f>'[1]Matriz Mensual Alexis-Sept. 20 '!Q12</f>
        <v>1</v>
      </c>
      <c r="W13" s="4"/>
      <c r="X13" s="4"/>
      <c r="Y13" s="4"/>
    </row>
    <row r="14" spans="1:25" s="7" customFormat="1" ht="78.75" x14ac:dyDescent="0.25">
      <c r="A14" s="190">
        <f t="shared" ref="A14:A77" si="0">+A13+1</f>
        <v>3</v>
      </c>
      <c r="B14" s="139" t="s">
        <v>122</v>
      </c>
      <c r="C14" s="137" t="s">
        <v>123</v>
      </c>
      <c r="D14" s="139" t="s">
        <v>123</v>
      </c>
      <c r="E14" s="139" t="s">
        <v>124</v>
      </c>
      <c r="F14" s="140" t="s">
        <v>129</v>
      </c>
      <c r="G14" s="140" t="s">
        <v>130</v>
      </c>
      <c r="H14" s="139" t="str">
        <f>'[1]Matriz Mensual Alexis-Sept. 20 '!H13</f>
        <v>Inaugurado</v>
      </c>
      <c r="I14" s="22">
        <f>'[1]Matriz Mensual Alexis-Sept. 20 '!I13</f>
        <v>0</v>
      </c>
      <c r="J14" s="337" t="str">
        <f>'[1]Matriz Mensual Alexis-Sept. 20 '!J13</f>
        <v>CAIPI inaugurado. Este Caipi fue inaugurado el dia 28 de julio 2020 y solo falta dar mantenimiento a las areas exteriores</v>
      </c>
      <c r="K14" s="355" t="str">
        <f>'[1]Matriz Mensual Alexis-Sept. 20 '!K13</f>
        <v>18.44640,-70.73738</v>
      </c>
      <c r="L14" s="355" t="str">
        <f>'[1]Matriz Mensual Alexis-Sept. 20 '!L13</f>
        <v>1 N</v>
      </c>
      <c r="M14" s="140" t="str">
        <f>'[1]Matriz Mensual Alexis-Sept. 20 '!M13</f>
        <v>Marcia Alexandra Calderón de Brea</v>
      </c>
      <c r="N14" s="140" t="str">
        <f>'[1]Matriz Mensual Alexis-Sept. 20 '!N13</f>
        <v>(809)304-5482</v>
      </c>
      <c r="O14" s="140" t="str">
        <f>'[1]Matriz Mensual Alexis-Sept. 20 '!O13</f>
        <v>calderon.marcia@gmail.com</v>
      </c>
      <c r="P14" s="140" t="str">
        <f>'[1]Matriz Mensual Alexis-Sept. 20 '!P13</f>
        <v>2DO</v>
      </c>
      <c r="Q14" s="371">
        <f>'[1]Matriz Mensual Alexis-Sept. 20 '!Q13</f>
        <v>1</v>
      </c>
    </row>
    <row r="15" spans="1:25" s="7" customFormat="1" ht="141.75" x14ac:dyDescent="0.25">
      <c r="A15" s="190">
        <f t="shared" si="0"/>
        <v>4</v>
      </c>
      <c r="B15" s="190" t="s">
        <v>122</v>
      </c>
      <c r="C15" s="137" t="s">
        <v>123</v>
      </c>
      <c r="D15" s="190" t="s">
        <v>123</v>
      </c>
      <c r="E15" s="190" t="s">
        <v>124</v>
      </c>
      <c r="F15" s="190" t="s">
        <v>131</v>
      </c>
      <c r="G15" s="190" t="s">
        <v>132</v>
      </c>
      <c r="H15" s="354" t="str">
        <f>'[1]Matriz Mensual Alexis-Sept. 20 '!H14</f>
        <v>En Construcción</v>
      </c>
      <c r="I15" s="22">
        <f>'[1]Matriz Mensual Alexis-Sept. 20 '!I14</f>
        <v>0</v>
      </c>
      <c r="J15" s="369" t="str">
        <f>'[1]Matriz Mensual Alexis-Sept. 20 '!J14</f>
        <v>CAIPI en construccion. Esta trabajando en la terminacion de cantos y mochetas en el 1er y 2do nivel. Solicitamos la construcción de la rampa de acceso al segundo nivel y la construcción de una garita para el portero, dada la inclemencia del clima de la zona y la distancia.</v>
      </c>
      <c r="K15" s="360" t="str">
        <f>'[1]Matriz Mensual Alexis-Sept. 20 '!K14</f>
        <v>18.449060, -70.720413</v>
      </c>
      <c r="L15" s="356" t="str">
        <f>'[1]Matriz Mensual Alexis-Sept. 20 '!L14</f>
        <v>2 N</v>
      </c>
      <c r="M15" s="190" t="str">
        <f>'[1]Matriz Mensual Alexis-Sept. 20 '!M14</f>
        <v>Diny Wander Matos Garabito</v>
      </c>
      <c r="N15" s="190" t="str">
        <f>'[1]Matriz Mensual Alexis-Sept. 20 '!N14</f>
        <v>(809)912-6070</v>
      </c>
      <c r="O15" s="190" t="str">
        <f>'[1]Matriz Mensual Alexis-Sept. 20 '!O14</f>
        <v>dinymatos@hotmail.com</v>
      </c>
      <c r="P15" s="190" t="str">
        <f>'[1]Matriz Mensual Alexis-Sept. 20 '!P14</f>
        <v>2DO</v>
      </c>
      <c r="Q15" s="371">
        <f>'[1]Matriz Mensual Alexis-Sept. 20 '!Q14</f>
        <v>0.48</v>
      </c>
    </row>
    <row r="16" spans="1:25" s="7" customFormat="1" ht="110.25" x14ac:dyDescent="0.25">
      <c r="A16" s="226">
        <f t="shared" si="0"/>
        <v>5</v>
      </c>
      <c r="B16" s="145" t="s">
        <v>122</v>
      </c>
      <c r="C16" s="137" t="s">
        <v>123</v>
      </c>
      <c r="D16" s="145" t="s">
        <v>133</v>
      </c>
      <c r="E16" s="226" t="s">
        <v>124</v>
      </c>
      <c r="F16" s="189" t="s">
        <v>624</v>
      </c>
      <c r="G16" s="189" t="s">
        <v>630</v>
      </c>
      <c r="H16" s="349" t="str">
        <f>'[1]Matriz Mensual Alexis-Sept. 20 '!H15</f>
        <v>Sin Iniciar</v>
      </c>
      <c r="I16" s="23" t="str">
        <f>'[1]Matriz Mensual Alexis-Sept. 20 '!I15</f>
        <v xml:space="preserve">Negociado </v>
      </c>
      <c r="J16" s="362" t="str">
        <f>'[1]Matriz Mensual Alexis-Sept. 20 '!J15</f>
        <v>CAIPI en negociación. Las familias recibieron el pago por la casas que fueron demolidas, pero están en espera del pago de los terrenos para poder iniciar los trabajos. La OGI está evaluando resindir este acuerdo.</v>
      </c>
      <c r="K16" s="357">
        <f>'[1]Matriz Mensual Alexis-Sept. 20 '!K15</f>
        <v>0</v>
      </c>
      <c r="L16" s="357">
        <f>'[1]Matriz Mensual Alexis-Sept. 20 '!L15</f>
        <v>0</v>
      </c>
      <c r="M16" s="145" t="str">
        <f>'[1]Matriz Mensual Alexis-Sept. 20 '!M15</f>
        <v xml:space="preserve">Herbert Lenin Brito </v>
      </c>
      <c r="N16" s="145">
        <f>'[1]Matriz Mensual Alexis-Sept. 20 '!N15</f>
        <v>0</v>
      </c>
      <c r="O16" s="145">
        <f>'[1]Matriz Mensual Alexis-Sept. 20 '!O15</f>
        <v>0</v>
      </c>
      <c r="P16" s="145" t="str">
        <f>'[1]Matriz Mensual Alexis-Sept. 20 '!P15</f>
        <v>2DO</v>
      </c>
      <c r="Q16" s="372">
        <f>'[1]Matriz Mensual Alexis-Sept. 20 '!Q15</f>
        <v>0</v>
      </c>
    </row>
    <row r="17" spans="1:23" s="7" customFormat="1" ht="31.5" x14ac:dyDescent="0.25">
      <c r="A17" s="309">
        <f t="shared" si="0"/>
        <v>6</v>
      </c>
      <c r="B17" s="157" t="s">
        <v>122</v>
      </c>
      <c r="C17" s="157" t="s">
        <v>134</v>
      </c>
      <c r="D17" s="157" t="s">
        <v>135</v>
      </c>
      <c r="E17" s="157" t="s">
        <v>136</v>
      </c>
      <c r="F17" s="171" t="s">
        <v>137</v>
      </c>
      <c r="G17" s="171" t="s">
        <v>138</v>
      </c>
      <c r="H17" s="137" t="str">
        <f>'[1]Matriz Mensual Alexis-Sept. 20 '!H16</f>
        <v>Inaugurado</v>
      </c>
      <c r="I17" s="20">
        <f>'[1]Matriz Mensual Alexis-Sept. 20 '!I16</f>
        <v>0</v>
      </c>
      <c r="J17" s="364">
        <f>'[1]Matriz Mensual Alexis-Sept. 20 '!J16</f>
        <v>0</v>
      </c>
      <c r="K17" s="364" t="str">
        <f>'[1]Matriz Mensual Alexis-Sept. 20 '!K16</f>
        <v>18,28417, -70,34220</v>
      </c>
      <c r="L17" s="364" t="str">
        <f>'[1]Matriz Mensual Alexis-Sept. 20 '!L16</f>
        <v>2 N</v>
      </c>
      <c r="M17" s="143" t="str">
        <f>'[1]Matriz Mensual Alexis-Sept. 20 '!M16</f>
        <v>Leidy Espinosa Mejía</v>
      </c>
      <c r="N17" s="143" t="str">
        <f>'[1]Matriz Mensual Alexis-Sept. 20 '!N16</f>
        <v>809-563-1496 / 809-854-1868</v>
      </c>
      <c r="O17" s="143" t="str">
        <f>'[1]Matriz Mensual Alexis-Sept. 20 '!O16</f>
        <v>leidyme@hotmail.com</v>
      </c>
      <c r="P17" s="143" t="str">
        <f>'[1]Matriz Mensual Alexis-Sept. 20 '!P16</f>
        <v>1ER</v>
      </c>
      <c r="Q17" s="373">
        <f>'[1]Matriz Mensual Alexis-Sept. 20 '!Q16</f>
        <v>1</v>
      </c>
    </row>
    <row r="18" spans="1:23" s="7" customFormat="1" ht="110.25" x14ac:dyDescent="0.25">
      <c r="A18" s="190">
        <f>+A17+1</f>
        <v>7</v>
      </c>
      <c r="B18" s="139" t="s">
        <v>122</v>
      </c>
      <c r="C18" s="157" t="s">
        <v>134</v>
      </c>
      <c r="D18" s="139" t="s">
        <v>135</v>
      </c>
      <c r="E18" s="139" t="s">
        <v>136</v>
      </c>
      <c r="F18" s="140" t="s">
        <v>139</v>
      </c>
      <c r="G18" s="140" t="s">
        <v>140</v>
      </c>
      <c r="H18" s="139" t="str">
        <f>'[1]Matriz Mensual Alexis-Sept. 20 '!H17</f>
        <v>Detenido pago cubicación</v>
      </c>
      <c r="I18" s="22">
        <f>'[1]Matriz Mensual Alexis-Sept. 20 '!I17</f>
        <v>0</v>
      </c>
      <c r="J18" s="337" t="str">
        <f>'[1]Matriz Mensual Alexis-Sept. 20 '!J17</f>
        <v>CAIPI detenido por pago de cubicaciones, Esta Caipi esta en fase de terminación sin embargo está detenido desde el mes de septiembre 2019. Recordamos la necesidad de la escalera de acceso a la azotea.</v>
      </c>
      <c r="K18" s="356" t="str">
        <f>'[1]Matriz Mensual Alexis-Sept. 20 '!K17</f>
        <v>18,2852556, -70,3324021</v>
      </c>
      <c r="L18" s="356" t="str">
        <f>'[1]Matriz Mensual Alexis-Sept. 20 '!L17</f>
        <v>2 N</v>
      </c>
      <c r="M18" s="140" t="str">
        <f>'[1]Matriz Mensual Alexis-Sept. 20 '!M17</f>
        <v>Ingenieria Higüerito SRL/José Ramírez</v>
      </c>
      <c r="N18" s="140" t="str">
        <f>'[1]Matriz Mensual Alexis-Sept. 20 '!N17</f>
        <v>(829)912-2490</v>
      </c>
      <c r="O18" s="140" t="str">
        <f>'[1]Matriz Mensual Alexis-Sept. 20 '!O17</f>
        <v>vlasanchez@yahoo.com</v>
      </c>
      <c r="P18" s="140" t="str">
        <f>'[1]Matriz Mensual Alexis-Sept. 20 '!P17</f>
        <v>2DO</v>
      </c>
      <c r="Q18" s="371">
        <f>'[1]Matriz Mensual Alexis-Sept. 20 '!Q17</f>
        <v>0.85</v>
      </c>
      <c r="W18" s="4" t="s">
        <v>0</v>
      </c>
    </row>
    <row r="19" spans="1:23" s="7" customFormat="1" ht="189" x14ac:dyDescent="0.25">
      <c r="A19" s="190">
        <f t="shared" si="0"/>
        <v>8</v>
      </c>
      <c r="B19" s="139" t="s">
        <v>122</v>
      </c>
      <c r="C19" s="157" t="s">
        <v>134</v>
      </c>
      <c r="D19" s="139" t="s">
        <v>135</v>
      </c>
      <c r="E19" s="139" t="s">
        <v>136</v>
      </c>
      <c r="F19" s="140" t="s">
        <v>141</v>
      </c>
      <c r="G19" s="140" t="s">
        <v>142</v>
      </c>
      <c r="H19" s="139" t="str">
        <f>'[1]Matriz Mensual Alexis-Sept. 20 '!H18</f>
        <v>Detenido pago cubicación</v>
      </c>
      <c r="I19" s="22">
        <f>'[1]Matriz Mensual Alexis-Sept. 20 '!I18</f>
        <v>0</v>
      </c>
      <c r="J19" s="337" t="str">
        <f>'[1]Matriz Mensual Alexis-Sept. 20 '!J18</f>
        <v>CAIPI detenido por pago de cubicación. Este Caipi está detenido desde mediado de agosto, se trabajó en la colocación de pisos en primer y segundo nivel y en la aplicación de la pintura base. Sugerimos la construcción de la 2da caseta para depósito, la adecuación de las calles perimetrales, la escalera de acceso a la azotea y la rampa de acceso al segundo nivel.</v>
      </c>
      <c r="K19" s="356" t="str">
        <f>'[1]Matriz Mensual Alexis-Sept. 20 '!K18</f>
        <v>18,266751, -70,325672</v>
      </c>
      <c r="L19" s="356" t="str">
        <f>'[1]Matriz Mensual Alexis-Sept. 20 '!L18</f>
        <v>2 N</v>
      </c>
      <c r="M19" s="140" t="str">
        <f>'[1]Matriz Mensual Alexis-Sept. 20 '!M18</f>
        <v>Santa Ana Guzman Ubri</v>
      </c>
      <c r="N19" s="140" t="str">
        <f>'[1]Matriz Mensual Alexis-Sept. 20 '!N18</f>
        <v>(809)603-3739</v>
      </c>
      <c r="O19" s="140" t="str">
        <f>'[1]Matriz Mensual Alexis-Sept. 20 '!O18</f>
        <v>arqradriel@hotmail.es</v>
      </c>
      <c r="P19" s="140" t="str">
        <f>'[1]Matriz Mensual Alexis-Sept. 20 '!P18</f>
        <v>2DO</v>
      </c>
      <c r="Q19" s="371">
        <f>'[1]Matriz Mensual Alexis-Sept. 20 '!Q18</f>
        <v>0.72</v>
      </c>
    </row>
    <row r="20" spans="1:23" s="7" customFormat="1" ht="169.5" customHeight="1" x14ac:dyDescent="0.25">
      <c r="A20" s="190">
        <f t="shared" si="0"/>
        <v>9</v>
      </c>
      <c r="B20" s="145" t="s">
        <v>122</v>
      </c>
      <c r="C20" s="157" t="s">
        <v>134</v>
      </c>
      <c r="D20" s="145" t="s">
        <v>143</v>
      </c>
      <c r="E20" s="145" t="s">
        <v>144</v>
      </c>
      <c r="F20" s="146" t="s">
        <v>143</v>
      </c>
      <c r="G20" s="146" t="s">
        <v>145</v>
      </c>
      <c r="H20" s="139" t="str">
        <f>'[1]Matriz Mensual Alexis-Sept. 20 '!H19</f>
        <v>Detenido</v>
      </c>
      <c r="I20" s="22">
        <f>'[1]Matriz Mensual Alexis-Sept. 20 '!I19</f>
        <v>0</v>
      </c>
      <c r="J20" s="337" t="str">
        <f>'[1]Matriz Mensual Alexis-Sept. 20 '!J19</f>
        <v>CAIPI detenido. El 26/11/19 recibió la aprobación ejecución de pilotes, se cotizo con las compañías autorizadas. Está en espera de confirmación del MINERD; Estos trabajos están detenido desde inicio de la cuarentena.</v>
      </c>
      <c r="K20" s="356" t="str">
        <f>'[1]Matriz Mensual Alexis-Sept. 20 '!K19</f>
        <v>18,241830, -70,211899</v>
      </c>
      <c r="L20" s="356" t="str">
        <f>'[1]Matriz Mensual Alexis-Sept. 20 '!L19</f>
        <v>1 N</v>
      </c>
      <c r="M20" s="140" t="str">
        <f>'[1]Matriz Mensual Alexis-Sept. 20 '!M19</f>
        <v>Ana de la Rosa Mercedes</v>
      </c>
      <c r="N20" s="140" t="str">
        <f>'[1]Matriz Mensual Alexis-Sept. 20 '!N19</f>
        <v>(809)913-2813</v>
      </c>
      <c r="O20" s="140" t="str">
        <f>'[1]Matriz Mensual Alexis-Sept. 20 '!O19</f>
        <v>evenecer.arm@hotmail.com</v>
      </c>
      <c r="P20" s="140" t="str">
        <f>'[1]Matriz Mensual Alexis-Sept. 20 '!P19</f>
        <v>2DO</v>
      </c>
      <c r="Q20" s="371">
        <f>'[1]Matriz Mensual Alexis-Sept. 20 '!Q19</f>
        <v>0</v>
      </c>
    </row>
    <row r="21" spans="1:23" s="7" customFormat="1" ht="31.5" x14ac:dyDescent="0.25">
      <c r="A21" s="190">
        <f t="shared" si="0"/>
        <v>10</v>
      </c>
      <c r="B21" s="137" t="s">
        <v>122</v>
      </c>
      <c r="C21" s="137" t="s">
        <v>146</v>
      </c>
      <c r="D21" s="137" t="s">
        <v>146</v>
      </c>
      <c r="E21" s="137" t="s">
        <v>136</v>
      </c>
      <c r="F21" s="143" t="s">
        <v>147</v>
      </c>
      <c r="G21" s="143" t="s">
        <v>148</v>
      </c>
      <c r="H21" s="145" t="str">
        <f>'[1]Matriz Mensual Alexis-Sept. 20 '!H20</f>
        <v>Inaugurado</v>
      </c>
      <c r="I21" s="23">
        <f>'[1]Matriz Mensual Alexis-Sept. 20 '!I20</f>
        <v>0</v>
      </c>
      <c r="J21" s="365">
        <f>'[1]Matriz Mensual Alexis-Sept. 20 '!J20</f>
        <v>0</v>
      </c>
      <c r="K21" s="23">
        <f>'[1]Matriz Mensual Alexis-Sept. 20 '!K20</f>
        <v>0</v>
      </c>
      <c r="L21" s="23">
        <f>'[1]Matriz Mensual Alexis-Sept. 20 '!L20</f>
        <v>0</v>
      </c>
      <c r="M21" s="146" t="str">
        <f>'[1]Matriz Mensual Alexis-Sept. 20 '!M20</f>
        <v>LAMPARD GROUP, SRL / Juan D. Pérez</v>
      </c>
      <c r="N21" s="146" t="str">
        <f>'[1]Matriz Mensual Alexis-Sept. 20 '!N20</f>
        <v>809-424-3032 / 809-334-3426</v>
      </c>
      <c r="O21" s="146" t="str">
        <f>'[1]Matriz Mensual Alexis-Sept. 20 '!O20</f>
        <v>lampardgroupsrl@gmail.com / arq.jdpr@gmail.com</v>
      </c>
      <c r="P21" s="146" t="str">
        <f>'[1]Matriz Mensual Alexis-Sept. 20 '!P20</f>
        <v>1ER</v>
      </c>
      <c r="Q21" s="372">
        <f>'[1]Matriz Mensual Alexis-Sept. 20 '!Q20</f>
        <v>1</v>
      </c>
    </row>
    <row r="22" spans="1:23" s="7" customFormat="1" ht="31.5" x14ac:dyDescent="0.25">
      <c r="A22" s="190">
        <f t="shared" si="0"/>
        <v>11</v>
      </c>
      <c r="B22" s="145" t="s">
        <v>122</v>
      </c>
      <c r="C22" s="145" t="s">
        <v>146</v>
      </c>
      <c r="D22" s="145" t="s">
        <v>149</v>
      </c>
      <c r="E22" s="145" t="s">
        <v>124</v>
      </c>
      <c r="F22" s="146" t="s">
        <v>149</v>
      </c>
      <c r="G22" s="146" t="s">
        <v>149</v>
      </c>
      <c r="H22" s="157" t="str">
        <f>'[1]Matriz Mensual Alexis-Sept. 20 '!H21</f>
        <v>Inaugurado</v>
      </c>
      <c r="I22" s="29">
        <f>'[1]Matriz Mensual Alexis-Sept. 20 '!I21</f>
        <v>0</v>
      </c>
      <c r="J22" s="367" t="str">
        <f>'[1]Matriz Mensual Alexis-Sept. 20 '!J21</f>
        <v>CAIPI inaugurado. Este Caipi fue inaugurado el 28 de julio 2020.</v>
      </c>
      <c r="K22" s="358" t="str">
        <f>'[1]Matriz Mensual Alexis-Sept. 20 '!K21</f>
        <v>18,58176, -70,49736</v>
      </c>
      <c r="L22" s="358" t="str">
        <f>'[1]Matriz Mensual Alexis-Sept. 20 '!L21</f>
        <v>1 N</v>
      </c>
      <c r="M22" s="171" t="str">
        <f>'[1]Matriz Mensual Alexis-Sept. 20 '!M21</f>
        <v>Francisco Reynaldo Martinez Subero</v>
      </c>
      <c r="N22" s="171" t="str">
        <f>'[1]Matriz Mensual Alexis-Sept. 20 '!N21</f>
        <v>(829)447-9337</v>
      </c>
      <c r="O22" s="171" t="str">
        <f>'[1]Matriz Mensual Alexis-Sept. 20 '!O21</f>
        <v>martinezsubero2010@hotmail.com</v>
      </c>
      <c r="P22" s="171" t="str">
        <f>'[1]Matriz Mensual Alexis-Sept. 20 '!P21</f>
        <v>2DO</v>
      </c>
      <c r="Q22" s="374">
        <f>'[1]Matriz Mensual Alexis-Sept. 20 '!Q21</f>
        <v>1</v>
      </c>
    </row>
    <row r="23" spans="1:23" s="7" customFormat="1" ht="119.25" customHeight="1" x14ac:dyDescent="0.25">
      <c r="A23" s="190">
        <f t="shared" si="0"/>
        <v>12</v>
      </c>
      <c r="B23" s="157" t="s">
        <v>122</v>
      </c>
      <c r="C23" s="157" t="s">
        <v>150</v>
      </c>
      <c r="D23" s="157" t="s">
        <v>150</v>
      </c>
      <c r="E23" s="157" t="s">
        <v>136</v>
      </c>
      <c r="F23" s="171" t="s">
        <v>151</v>
      </c>
      <c r="G23" s="171" t="s">
        <v>152</v>
      </c>
      <c r="H23" s="295" t="str">
        <f>'[1]Matriz Mensual Alexis-Sept. 20 '!H22</f>
        <v>En Construcción</v>
      </c>
      <c r="I23" s="96">
        <f>'[1]Matriz Mensual Alexis-Sept. 20 '!I22</f>
        <v>0</v>
      </c>
      <c r="J23" s="368" t="str">
        <f>'[1]Matriz Mensual Alexis-Sept. 20 '!J22</f>
        <v>CAIPI en construcción. El contratista está trabajando en la colocación de pisos y el pañete exterior. Sigue pendiente de la adecuación de la cocina, de acuerdo con los requerimientos del INAIPI.</v>
      </c>
      <c r="K23" s="96" t="str">
        <f>'[1]Matriz Mensual Alexis-Sept. 20 '!K22</f>
        <v>18,205134, -71,109655</v>
      </c>
      <c r="L23" s="96" t="str">
        <f>'[1]Matriz Mensual Alexis-Sept. 20 '!L22</f>
        <v>2 N</v>
      </c>
      <c r="M23" s="359" t="str">
        <f>'[1]Matriz Mensual Alexis-Sept. 20 '!M22</f>
        <v>Luís Bienvenido Ledesma Cuevas</v>
      </c>
      <c r="N23" s="359" t="str">
        <f>'[1]Matriz Mensual Alexis-Sept. 20 '!N22</f>
        <v>829-943-7559</v>
      </c>
      <c r="O23" s="359" t="str">
        <f>'[1]Matriz Mensual Alexis-Sept. 20 '!O22</f>
        <v>b.ledesma9@gmail.com</v>
      </c>
      <c r="P23" s="359" t="str">
        <f>'[1]Matriz Mensual Alexis-Sept. 20 '!P22</f>
        <v>1ER</v>
      </c>
      <c r="Q23" s="375">
        <f>'[1]Matriz Mensual Alexis-Sept. 20 '!Q22</f>
        <v>0.63</v>
      </c>
    </row>
    <row r="24" spans="1:23" s="7" customFormat="1" ht="189" x14ac:dyDescent="0.25">
      <c r="A24" s="190">
        <f t="shared" si="0"/>
        <v>13</v>
      </c>
      <c r="B24" s="139" t="s">
        <v>122</v>
      </c>
      <c r="C24" s="157" t="s">
        <v>150</v>
      </c>
      <c r="D24" s="139" t="s">
        <v>150</v>
      </c>
      <c r="E24" s="139" t="s">
        <v>136</v>
      </c>
      <c r="F24" s="140" t="s">
        <v>153</v>
      </c>
      <c r="G24" s="140" t="s">
        <v>154</v>
      </c>
      <c r="H24" s="137" t="str">
        <f>'[1]Matriz Mensual Alexis-Sept. 20 '!H23</f>
        <v>Detenido</v>
      </c>
      <c r="I24" s="20">
        <f>'[1]Matriz Mensual Alexis-Sept. 20 '!I23</f>
        <v>0</v>
      </c>
      <c r="J24" s="367" t="str">
        <f>'[1]Matriz Mensual Alexis-Sept. 20 '!J23</f>
        <v>CAIPI detenido. El contratista detuvo los trabajos a solicitud de los propietarios del terreno a partir del mes de enero 2020, ya que dichos propietarios realizaron un acuerdo con el MINERD para que al iniciar los trabajos de construcción del CAIPI iniciarían también los trabajos de construcción de un centro de educación para sordo mudos y no se realizado</v>
      </c>
      <c r="K24" s="364" t="str">
        <f>'[1]Matriz Mensual Alexis-Sept. 20 '!K23</f>
        <v>18,2108480, -71,0994650</v>
      </c>
      <c r="L24" s="364" t="str">
        <f>'[1]Matriz Mensual Alexis-Sept. 20 '!L23</f>
        <v>1 N</v>
      </c>
      <c r="M24" s="143" t="str">
        <f>'[1]Matriz Mensual Alexis-Sept. 20 '!M23</f>
        <v>Hector Bienvenido Segura Matos</v>
      </c>
      <c r="N24" s="143" t="str">
        <f>'[1]Matriz Mensual Alexis-Sept. 20 '!N23</f>
        <v>(809)524-2028</v>
      </c>
      <c r="O24" s="137" t="str">
        <f>'[1]Matriz Mensual Alexis-Sept. 20 '!O23</f>
        <v>hector.claro@hotmail.com</v>
      </c>
      <c r="P24" s="143" t="str">
        <f>'[1]Matriz Mensual Alexis-Sept. 20 '!P23</f>
        <v>2DO</v>
      </c>
      <c r="Q24" s="373">
        <f>'[1]Matriz Mensual Alexis-Sept. 20 '!Q23</f>
        <v>0.02</v>
      </c>
    </row>
    <row r="25" spans="1:23" s="7" customFormat="1" ht="47.25" x14ac:dyDescent="0.25">
      <c r="A25" s="190">
        <f t="shared" si="0"/>
        <v>14</v>
      </c>
      <c r="B25" s="145" t="s">
        <v>122</v>
      </c>
      <c r="C25" s="157" t="s">
        <v>150</v>
      </c>
      <c r="D25" s="145" t="s">
        <v>150</v>
      </c>
      <c r="E25" s="145" t="s">
        <v>136</v>
      </c>
      <c r="F25" s="146" t="s">
        <v>155</v>
      </c>
      <c r="G25" s="146" t="s">
        <v>156</v>
      </c>
      <c r="H25" s="139" t="str">
        <f>'[1]Matriz Mensual Alexis-Sept. 20 '!H24</f>
        <v>Inaugurado</v>
      </c>
      <c r="I25" s="363">
        <f>'[1]Matriz Mensual Alexis-Sept. 20 '!I24</f>
        <v>0</v>
      </c>
      <c r="J25" s="366" t="str">
        <f>'[1]Matriz Mensual Alexis-Sept. 20 '!J24</f>
        <v>CAIPI en servicio, Este centro fue inaugurado, en la primera semana de febrero 2019.</v>
      </c>
      <c r="K25" s="356" t="str">
        <f>'[1]Matriz Mensual Alexis-Sept. 20 '!K24</f>
        <v>18,1965460, -71,1055100</v>
      </c>
      <c r="L25" s="356" t="str">
        <f>'[1]Matriz Mensual Alexis-Sept. 20 '!L24</f>
        <v>2 N</v>
      </c>
      <c r="M25" s="140" t="str">
        <f>'[1]Matriz Mensual Alexis-Sept. 20 '!M24</f>
        <v>Construcciones SLAVA SRL/Stalin Carbonell</v>
      </c>
      <c r="N25" s="140" t="str">
        <f>'[1]Matriz Mensual Alexis-Sept. 20 '!N24</f>
        <v>(829)260-9365</v>
      </c>
      <c r="O25" s="140" t="str">
        <f>'[1]Matriz Mensual Alexis-Sept. 20 '!O24</f>
        <v>stalincarbonell@yahoo.com</v>
      </c>
      <c r="P25" s="140" t="str">
        <f>'[1]Matriz Mensual Alexis-Sept. 20 '!P24</f>
        <v>2DO</v>
      </c>
      <c r="Q25" s="371">
        <f>'[1]Matriz Mensual Alexis-Sept. 20 '!Q24</f>
        <v>1</v>
      </c>
    </row>
    <row r="26" spans="1:23" s="7" customFormat="1" ht="63" x14ac:dyDescent="0.25">
      <c r="A26" s="190">
        <f t="shared" si="0"/>
        <v>15</v>
      </c>
      <c r="B26" s="349" t="s">
        <v>122</v>
      </c>
      <c r="C26" s="349" t="s">
        <v>150</v>
      </c>
      <c r="D26" s="349" t="s">
        <v>157</v>
      </c>
      <c r="E26" s="349" t="s">
        <v>158</v>
      </c>
      <c r="F26" s="350" t="s">
        <v>159</v>
      </c>
      <c r="G26" s="350" t="s">
        <v>160</v>
      </c>
      <c r="H26" s="139" t="str">
        <f>'[1]Matriz Mensual Alexis-Sept. 20 '!H25</f>
        <v>Inaugurado</v>
      </c>
      <c r="I26" s="22">
        <f>'[1]Matriz Mensual Alexis-Sept. 20 '!I25</f>
        <v>0</v>
      </c>
      <c r="J26" s="190">
        <f>'[1]Matriz Mensual Alexis-Sept. 20 '!J25</f>
        <v>0</v>
      </c>
      <c r="K26" s="22">
        <f>'[1]Matriz Mensual Alexis-Sept. 20 '!K25</f>
        <v>0</v>
      </c>
      <c r="L26" s="22">
        <f>'[1]Matriz Mensual Alexis-Sept. 20 '!L25</f>
        <v>0</v>
      </c>
      <c r="M26" s="140" t="str">
        <f>'[1]Matriz Mensual Alexis-Sept. 20 '!M25</f>
        <v>Venerado León Turbó</v>
      </c>
      <c r="N26" s="140">
        <f>'[1]Matriz Mensual Alexis-Sept. 20 '!N25</f>
        <v>0</v>
      </c>
      <c r="O26" s="140">
        <f>'[1]Matriz Mensual Alexis-Sept. 20 '!O25</f>
        <v>0</v>
      </c>
      <c r="P26" s="140" t="str">
        <f>'[1]Matriz Mensual Alexis-Sept. 20 '!P25</f>
        <v>1ER</v>
      </c>
      <c r="Q26" s="371">
        <f>'[1]Matriz Mensual Alexis-Sept. 20 '!Q25</f>
        <v>1</v>
      </c>
    </row>
    <row r="27" spans="1:23" s="7" customFormat="1" ht="47.25" x14ac:dyDescent="0.25">
      <c r="A27" s="190">
        <f t="shared" si="0"/>
        <v>16</v>
      </c>
      <c r="B27" s="351" t="s">
        <v>122</v>
      </c>
      <c r="C27" s="351" t="s">
        <v>177</v>
      </c>
      <c r="D27" s="351" t="s">
        <v>632</v>
      </c>
      <c r="E27" s="351" t="s">
        <v>198</v>
      </c>
      <c r="F27" s="352" t="s">
        <v>599</v>
      </c>
      <c r="G27" s="352" t="s">
        <v>632</v>
      </c>
      <c r="H27" s="145" t="str">
        <f>'[1]Matriz Mensual Alexis-Sept. 20 '!H26</f>
        <v>Sin Iniciar</v>
      </c>
      <c r="I27" s="145" t="str">
        <f>'[1]Matriz Mensual Alexis-Sept. 20 '!I26</f>
        <v xml:space="preserve">Con Propuesta </v>
      </c>
      <c r="J27" s="145">
        <f>'[1]Matriz Mensual Alexis-Sept. 20 '!J26</f>
        <v>0</v>
      </c>
      <c r="K27" s="145">
        <f>'[1]Matriz Mensual Alexis-Sept. 20 '!K26</f>
        <v>0</v>
      </c>
      <c r="L27" s="145">
        <f>'[1]Matriz Mensual Alexis-Sept. 20 '!L26</f>
        <v>0</v>
      </c>
      <c r="M27" s="145" t="str">
        <f>'[1]Matriz Mensual Alexis-Sept. 20 '!M26</f>
        <v>Francisco Alejandro Prats Morey</v>
      </c>
      <c r="N27" s="145" t="str">
        <f>'[1]Matriz Mensual Alexis-Sept. 20 '!N26</f>
        <v>(809)707-0240</v>
      </c>
      <c r="O27" s="145" t="str">
        <f>'[1]Matriz Mensual Alexis-Sept. 20 '!O26</f>
        <v>alex_prats@hotmail.com</v>
      </c>
      <c r="P27" s="145" t="str">
        <f>'[1]Matriz Mensual Alexis-Sept. 20 '!P26</f>
        <v>2DO</v>
      </c>
      <c r="Q27" s="155">
        <f>'[1]Matriz Mensual Alexis-Sept. 20 '!Q26</f>
        <v>0</v>
      </c>
    </row>
    <row r="28" spans="1:23" s="7" customFormat="1" ht="47.25" x14ac:dyDescent="0.25">
      <c r="A28" s="190">
        <f t="shared" si="0"/>
        <v>17</v>
      </c>
      <c r="B28" s="351" t="s">
        <v>122</v>
      </c>
      <c r="C28" s="351" t="s">
        <v>150</v>
      </c>
      <c r="D28" s="351" t="s">
        <v>593</v>
      </c>
      <c r="E28" s="351" t="s">
        <v>593</v>
      </c>
      <c r="F28" s="351" t="s">
        <v>594</v>
      </c>
      <c r="G28" s="351" t="s">
        <v>631</v>
      </c>
      <c r="H28" s="145" t="str">
        <f>'[1]Matriz Mensual Alexis-Sept. 20 '!H27</f>
        <v>Sin Iniciar</v>
      </c>
      <c r="I28" s="145" t="str">
        <f>'[1]Matriz Mensual Alexis-Sept. 20 '!I27</f>
        <v xml:space="preserve">Con Propuesta </v>
      </c>
      <c r="J28" s="145">
        <f>'[1]Matriz Mensual Alexis-Sept. 20 '!J27</f>
        <v>0</v>
      </c>
      <c r="K28" s="145">
        <f>'[1]Matriz Mensual Alexis-Sept. 20 '!K27</f>
        <v>0</v>
      </c>
      <c r="L28" s="145">
        <f>'[1]Matriz Mensual Alexis-Sept. 20 '!L27</f>
        <v>0</v>
      </c>
      <c r="M28" s="145" t="str">
        <f>'[1]Matriz Mensual Alexis-Sept. 20 '!M27</f>
        <v>Jesus Emmanuel Montero Javier</v>
      </c>
      <c r="N28" s="145" t="str">
        <f>'[1]Matriz Mensual Alexis-Sept. 20 '!N27</f>
        <v>(829)858-7483</v>
      </c>
      <c r="O28" s="145" t="str">
        <f>'[1]Matriz Mensual Alexis-Sept. 20 '!O27</f>
        <v>emmanuel.grupokratos@gmail.com</v>
      </c>
      <c r="P28" s="145" t="str">
        <f>'[1]Matriz Mensual Alexis-Sept. 20 '!P27</f>
        <v>2DO</v>
      </c>
      <c r="Q28" s="155">
        <f>'[1]Matriz Mensual Alexis-Sept. 20 '!Q27</f>
        <v>0</v>
      </c>
    </row>
    <row r="29" spans="1:23" s="7" customFormat="1" ht="31.5" x14ac:dyDescent="0.25">
      <c r="A29" s="190">
        <f t="shared" si="0"/>
        <v>18</v>
      </c>
      <c r="B29" s="231" t="s">
        <v>122</v>
      </c>
      <c r="C29" s="231" t="s">
        <v>161</v>
      </c>
      <c r="D29" s="231" t="s">
        <v>161</v>
      </c>
      <c r="E29" s="231" t="s">
        <v>144</v>
      </c>
      <c r="F29" s="231" t="s">
        <v>162</v>
      </c>
      <c r="G29" s="236" t="s">
        <v>163</v>
      </c>
      <c r="H29" s="145" t="str">
        <f>'[1]Matriz Mensual Alexis-Sept. 20 '!H28</f>
        <v>Inaugurado</v>
      </c>
      <c r="I29" s="145">
        <f>'[1]Matriz Mensual Alexis-Sept. 20 '!I28</f>
        <v>0</v>
      </c>
      <c r="J29" s="145">
        <f>'[1]Matriz Mensual Alexis-Sept. 20 '!J28</f>
        <v>0</v>
      </c>
      <c r="K29" s="145">
        <f>'[1]Matriz Mensual Alexis-Sept. 20 '!K28</f>
        <v>0</v>
      </c>
      <c r="L29" s="145">
        <f>'[1]Matriz Mensual Alexis-Sept. 20 '!L28</f>
        <v>0</v>
      </c>
      <c r="M29" s="145" t="str">
        <f>'[1]Matriz Mensual Alexis-Sept. 20 '!M28</f>
        <v>Yonny Pérez, S.R.L.</v>
      </c>
      <c r="N29" s="145">
        <f>'[1]Matriz Mensual Alexis-Sept. 20 '!N28</f>
        <v>8098012981</v>
      </c>
      <c r="O29" s="145" t="str">
        <f>'[1]Matriz Mensual Alexis-Sept. 20 '!O28</f>
        <v>marlenejfl@hotmail.com; jhonnyperez69@gmail.com</v>
      </c>
      <c r="P29" s="145" t="str">
        <f>'[1]Matriz Mensual Alexis-Sept. 20 '!P28</f>
        <v>1ER</v>
      </c>
      <c r="Q29" s="155">
        <f>'[1]Matriz Mensual Alexis-Sept. 20 '!Q28</f>
        <v>1</v>
      </c>
    </row>
    <row r="30" spans="1:23" s="7" customFormat="1" ht="30" customHeight="1" x14ac:dyDescent="0.25">
      <c r="A30" s="190">
        <f t="shared" si="0"/>
        <v>19</v>
      </c>
      <c r="B30" s="137" t="s">
        <v>164</v>
      </c>
      <c r="C30" s="137" t="s">
        <v>165</v>
      </c>
      <c r="D30" s="137" t="s">
        <v>166</v>
      </c>
      <c r="E30" s="137" t="s">
        <v>124</v>
      </c>
      <c r="F30" s="143" t="s">
        <v>167</v>
      </c>
      <c r="G30" s="195"/>
      <c r="H30" s="195" t="str">
        <f>'[2]Resumen Clarivel Adames ago. 20'!H10</f>
        <v>Inaugurado</v>
      </c>
      <c r="I30" s="195">
        <f>'[2]Resumen Clarivel Adames ago. 20'!I10</f>
        <v>0</v>
      </c>
      <c r="J30" s="256">
        <f>'[2]Resumen Clarivel Adames ago. 20'!J10</f>
        <v>0</v>
      </c>
      <c r="K30" s="195" t="str">
        <f>'[2]Resumen Clarivel Adames ago. 20'!K10</f>
        <v>18.878156,-71.706987</v>
      </c>
      <c r="L30" s="195" t="str">
        <f>'[2]Resumen Clarivel Adames ago. 20'!L10</f>
        <v>2N</v>
      </c>
      <c r="M30" s="312">
        <f>'[2]Resumen Clarivel Adames ago. 20'!M10</f>
        <v>0</v>
      </c>
      <c r="N30" s="148">
        <f>'[2]Resumen Clarivel Adames ago. 20'!N10</f>
        <v>0</v>
      </c>
      <c r="O30" s="148">
        <f>'[2]Resumen Clarivel Adames ago. 20'!O10</f>
        <v>0</v>
      </c>
      <c r="P30" s="148" t="str">
        <f>'[2]Resumen Clarivel Adames ago. 20'!P10</f>
        <v>1ER</v>
      </c>
      <c r="Q30" s="149">
        <f>'[2]Resumen Clarivel Adames ago. 20'!Q10</f>
        <v>1</v>
      </c>
    </row>
    <row r="31" spans="1:23" s="7" customFormat="1" ht="173.25" x14ac:dyDescent="0.25">
      <c r="A31" s="190">
        <f t="shared" si="0"/>
        <v>20</v>
      </c>
      <c r="B31" s="145" t="s">
        <v>164</v>
      </c>
      <c r="C31" s="145" t="s">
        <v>165</v>
      </c>
      <c r="D31" s="145" t="s">
        <v>168</v>
      </c>
      <c r="E31" s="145" t="s">
        <v>124</v>
      </c>
      <c r="F31" s="146" t="s">
        <v>168</v>
      </c>
      <c r="G31" s="146" t="s">
        <v>154</v>
      </c>
      <c r="H31" s="150" t="str">
        <f>'[2]Resumen Clarivel Adames ago. 20'!H11</f>
        <v>Detenido pago cubicación</v>
      </c>
      <c r="I31" s="212">
        <f>'[2]Resumen Clarivel Adames ago. 20'!I11</f>
        <v>0</v>
      </c>
      <c r="J31" s="252" t="str">
        <f>'[2]Resumen Clarivel Adames ago. 20'!J11</f>
        <v>CAIPI detenido por cubicación. Se paralizo en el mes de septiembre 2020. Le falta pinturas de colores, las instalaciones de la lámpara, el área exterior, la jardinería completa, área de juegos, en plomería la instalación de lavamanos. espera pago de cubicación para terminar el CAIPI y entregarlo para su inauguración.</v>
      </c>
      <c r="K31" s="188" t="str">
        <f>'[2]Resumen Clarivel Adames ago. 20'!K11</f>
        <v>18.7179610, -71.6970430</v>
      </c>
      <c r="L31" s="288" t="str">
        <f>'[2]Resumen Clarivel Adames ago. 20'!L11</f>
        <v>2N</v>
      </c>
      <c r="M31" s="313" t="str">
        <f>'[2]Resumen Clarivel Adames ago. 20'!M11</f>
        <v>Bicerici Const. SRL/Gabriel Abreu</v>
      </c>
      <c r="N31" s="150" t="str">
        <f>'[2]Resumen Clarivel Adames ago. 20'!N11</f>
        <v>(809)886-0061</v>
      </c>
      <c r="O31" s="150" t="str">
        <f>'[2]Resumen Clarivel Adames ago. 20'!O11</f>
        <v>gabrielabreuf@gmail.com</v>
      </c>
      <c r="P31" s="150" t="str">
        <f>'[2]Resumen Clarivel Adames ago. 20'!P11</f>
        <v>2DO</v>
      </c>
      <c r="Q31" s="147">
        <f>'[2]Resumen Clarivel Adames ago. 20'!Q11</f>
        <v>0.95</v>
      </c>
    </row>
    <row r="32" spans="1:23" s="7" customFormat="1" ht="47.25" x14ac:dyDescent="0.25">
      <c r="A32" s="190">
        <f t="shared" si="0"/>
        <v>21</v>
      </c>
      <c r="B32" s="137" t="s">
        <v>164</v>
      </c>
      <c r="C32" s="137" t="s">
        <v>169</v>
      </c>
      <c r="D32" s="137" t="s">
        <v>170</v>
      </c>
      <c r="E32" s="137" t="s">
        <v>124</v>
      </c>
      <c r="F32" s="143" t="s">
        <v>171</v>
      </c>
      <c r="G32" s="143" t="s">
        <v>172</v>
      </c>
      <c r="H32" s="148" t="str">
        <f>'[2]Resumen Clarivel Adames ago. 20'!H12</f>
        <v>Inaugurado</v>
      </c>
      <c r="I32" s="213">
        <f>'[2]Resumen Clarivel Adames ago. 20'!I12</f>
        <v>0</v>
      </c>
      <c r="J32" s="251">
        <f>'[2]Resumen Clarivel Adames ago. 20'!J12</f>
        <v>0</v>
      </c>
      <c r="K32" s="195" t="str">
        <f>'[2]Resumen Clarivel Adames ago. 20'!K12</f>
        <v>18.807104,-71.250357</v>
      </c>
      <c r="L32" s="233" t="str">
        <f>'[2]Resumen Clarivel Adames ago. 20'!L12</f>
        <v>1N</v>
      </c>
      <c r="M32" s="310">
        <f>'[2]Resumen Clarivel Adames ago. 20'!M12</f>
        <v>0</v>
      </c>
      <c r="N32" s="148">
        <f>'[2]Resumen Clarivel Adames ago. 20'!N12</f>
        <v>0</v>
      </c>
      <c r="O32" s="148">
        <f>'[2]Resumen Clarivel Adames ago. 20'!O12</f>
        <v>0</v>
      </c>
      <c r="P32" s="148" t="str">
        <f>'[2]Resumen Clarivel Adames ago. 20'!P12</f>
        <v>1ER</v>
      </c>
      <c r="Q32" s="149">
        <f>'[2]Resumen Clarivel Adames ago. 20'!Q12</f>
        <v>1</v>
      </c>
    </row>
    <row r="33" spans="1:17" s="7" customFormat="1" ht="31.5" x14ac:dyDescent="0.25">
      <c r="A33" s="190">
        <f t="shared" si="0"/>
        <v>22</v>
      </c>
      <c r="B33" s="139" t="s">
        <v>164</v>
      </c>
      <c r="C33" s="137" t="s">
        <v>169</v>
      </c>
      <c r="D33" s="139" t="s">
        <v>170</v>
      </c>
      <c r="E33" s="139" t="s">
        <v>124</v>
      </c>
      <c r="F33" s="140" t="s">
        <v>173</v>
      </c>
      <c r="G33" s="140" t="s">
        <v>174</v>
      </c>
      <c r="H33" s="151" t="str">
        <f>'[2]Resumen Clarivel Adames ago. 20'!H13</f>
        <v>Inaugurado</v>
      </c>
      <c r="I33" s="209">
        <f>'[2]Resumen Clarivel Adames ago. 20'!I13</f>
        <v>0</v>
      </c>
      <c r="J33" s="253">
        <f>'[2]Resumen Clarivel Adames ago. 20'!J13</f>
        <v>0</v>
      </c>
      <c r="K33" s="159" t="str">
        <f>'[2]Resumen Clarivel Adames ago. 20'!K13</f>
        <v>18.795283,-71.224238</v>
      </c>
      <c r="L33" s="159" t="str">
        <f>'[2]Resumen Clarivel Adames ago. 20'!L13</f>
        <v>1N</v>
      </c>
      <c r="M33" s="311" t="str">
        <f>'[2]Resumen Clarivel Adames ago. 20'!M13</f>
        <v>Roberto Meraldo Bautista</v>
      </c>
      <c r="N33" s="154" t="str">
        <f>'[2]Resumen Clarivel Adames ago. 20'!N13</f>
        <v>809-667-1566</v>
      </c>
      <c r="O33" s="151" t="str">
        <f>'[2]Resumen Clarivel Adames ago. 20'!O13</f>
        <v>ing.robertombautista@gmail.com</v>
      </c>
      <c r="P33" s="151" t="str">
        <f>'[2]Resumen Clarivel Adames ago. 20'!P13</f>
        <v>1ER</v>
      </c>
      <c r="Q33" s="152">
        <f>'[2]Resumen Clarivel Adames ago. 20'!Q13</f>
        <v>1</v>
      </c>
    </row>
    <row r="34" spans="1:17" s="7" customFormat="1" ht="47.25" x14ac:dyDescent="0.25">
      <c r="A34" s="190">
        <f t="shared" si="0"/>
        <v>23</v>
      </c>
      <c r="B34" s="139" t="s">
        <v>164</v>
      </c>
      <c r="C34" s="137" t="s">
        <v>169</v>
      </c>
      <c r="D34" s="139" t="s">
        <v>170</v>
      </c>
      <c r="E34" s="139" t="s">
        <v>124</v>
      </c>
      <c r="F34" s="140" t="s">
        <v>175</v>
      </c>
      <c r="G34" s="140" t="s">
        <v>176</v>
      </c>
      <c r="H34" s="151" t="str">
        <f>'[2]Resumen Clarivel Adames ago. 20'!H14</f>
        <v>Inaugurado</v>
      </c>
      <c r="I34" s="209">
        <f>'[2]Resumen Clarivel Adames ago. 20'!I14</f>
        <v>0</v>
      </c>
      <c r="J34" s="253">
        <f>'[2]Resumen Clarivel Adames ago. 20'!J14</f>
        <v>0</v>
      </c>
      <c r="K34" s="159" t="str">
        <f>'[2]Resumen Clarivel Adames ago. 20'!K14</f>
        <v>18.8188416,-71.2358921</v>
      </c>
      <c r="L34" s="288" t="str">
        <f>'[2]Resumen Clarivel Adames ago. 20'!L14</f>
        <v>2N</v>
      </c>
      <c r="M34" s="311">
        <f>'[2]Resumen Clarivel Adames ago. 20'!M14</f>
        <v>0</v>
      </c>
      <c r="N34" s="151">
        <f>'[2]Resumen Clarivel Adames ago. 20'!N14</f>
        <v>0</v>
      </c>
      <c r="O34" s="151">
        <f>'[2]Resumen Clarivel Adames ago. 20'!O14</f>
        <v>0</v>
      </c>
      <c r="P34" s="151" t="str">
        <f>'[2]Resumen Clarivel Adames ago. 20'!P14</f>
        <v>1ER</v>
      </c>
      <c r="Q34" s="152">
        <f>'[2]Resumen Clarivel Adames ago. 20'!Q14</f>
        <v>1</v>
      </c>
    </row>
    <row r="35" spans="1:17" s="7" customFormat="1" ht="110.25" x14ac:dyDescent="0.25">
      <c r="A35" s="190">
        <f t="shared" si="0"/>
        <v>24</v>
      </c>
      <c r="B35" s="139" t="s">
        <v>164</v>
      </c>
      <c r="C35" s="137" t="s">
        <v>169</v>
      </c>
      <c r="D35" s="139" t="s">
        <v>170</v>
      </c>
      <c r="E35" s="139" t="s">
        <v>124</v>
      </c>
      <c r="F35" s="140" t="s">
        <v>179</v>
      </c>
      <c r="G35" s="140" t="s">
        <v>180</v>
      </c>
      <c r="H35" s="151" t="str">
        <f>'[2]Resumen Clarivel Adames ago. 20'!H15</f>
        <v>Detenido por planos</v>
      </c>
      <c r="I35" s="209">
        <f>'[2]Resumen Clarivel Adames ago. 20'!I15</f>
        <v>0</v>
      </c>
      <c r="J35" s="253" t="str">
        <f>'[2]Resumen Clarivel Adames ago. 20'!J15</f>
        <v>CAIPI detenido por plano. Está a la espera de que el MOPC le entregue los planos del rediseño que aprobaron para el muro de contención, le autorizaron a suplirse de piedra desde octubre 2019.</v>
      </c>
      <c r="K35" s="159" t="str">
        <f>'[2]Resumen Clarivel Adames ago. 20'!K15</f>
        <v>18.806670, -71.218434</v>
      </c>
      <c r="L35" s="288" t="str">
        <f>'[2]Resumen Clarivel Adames ago. 20'!L15</f>
        <v>1N</v>
      </c>
      <c r="M35" s="111" t="str">
        <f>'[2]Resumen Clarivel Adames ago. 20'!M15</f>
        <v>Const. ROYSER SRL/Antonio A. Roa C.</v>
      </c>
      <c r="N35" s="154" t="str">
        <f>'[2]Resumen Clarivel Adames ago. 20'!N15</f>
        <v>(809)756-8386, (809)907-7551</v>
      </c>
      <c r="O35" s="151" t="str">
        <f>'[2]Resumen Clarivel Adames ago. 20'!O15</f>
        <v>cons_royser@hotmail.com</v>
      </c>
      <c r="P35" s="151" t="str">
        <f>'[2]Resumen Clarivel Adames ago. 20'!P15</f>
        <v>2DO</v>
      </c>
      <c r="Q35" s="152">
        <f>'[2]Resumen Clarivel Adames ago. 20'!Q15</f>
        <v>0.06</v>
      </c>
    </row>
    <row r="36" spans="1:17" s="7" customFormat="1" ht="31.5" x14ac:dyDescent="0.25">
      <c r="A36" s="190">
        <f t="shared" si="0"/>
        <v>25</v>
      </c>
      <c r="B36" s="139" t="s">
        <v>164</v>
      </c>
      <c r="C36" s="137" t="s">
        <v>169</v>
      </c>
      <c r="D36" s="139" t="s">
        <v>181</v>
      </c>
      <c r="E36" s="139" t="s">
        <v>144</v>
      </c>
      <c r="F36" s="140" t="s">
        <v>156</v>
      </c>
      <c r="G36" s="140" t="s">
        <v>182</v>
      </c>
      <c r="H36" s="151" t="str">
        <f>'[2]Resumen Clarivel Adames ago. 20'!H16</f>
        <v>Inaugurado</v>
      </c>
      <c r="I36" s="209">
        <f>'[2]Resumen Clarivel Adames ago. 20'!I16</f>
        <v>0</v>
      </c>
      <c r="J36" s="253">
        <f>'[2]Resumen Clarivel Adames ago. 20'!J16</f>
        <v>0</v>
      </c>
      <c r="K36" s="159" t="str">
        <f>'[2]Resumen Clarivel Adames ago. 20'!K16</f>
        <v>18.878138, -71.517867</v>
      </c>
      <c r="L36" s="159" t="str">
        <f>'[2]Resumen Clarivel Adames ago. 20'!L16</f>
        <v>2N</v>
      </c>
      <c r="M36" s="311">
        <f>'[2]Resumen Clarivel Adames ago. 20'!M16</f>
        <v>0</v>
      </c>
      <c r="N36" s="151">
        <f>'[2]Resumen Clarivel Adames ago. 20'!N16</f>
        <v>0</v>
      </c>
      <c r="O36" s="151">
        <f>'[2]Resumen Clarivel Adames ago. 20'!O16</f>
        <v>0</v>
      </c>
      <c r="P36" s="151" t="str">
        <f>'[2]Resumen Clarivel Adames ago. 20'!P16</f>
        <v>1ER</v>
      </c>
      <c r="Q36" s="152">
        <f>'[2]Resumen Clarivel Adames ago. 20'!Q16</f>
        <v>1</v>
      </c>
    </row>
    <row r="37" spans="1:17" s="7" customFormat="1" ht="94.5" x14ac:dyDescent="0.25">
      <c r="A37" s="190">
        <f t="shared" si="0"/>
        <v>26</v>
      </c>
      <c r="B37" s="145" t="s">
        <v>164</v>
      </c>
      <c r="C37" s="137" t="s">
        <v>169</v>
      </c>
      <c r="D37" s="145" t="s">
        <v>181</v>
      </c>
      <c r="E37" s="145" t="s">
        <v>144</v>
      </c>
      <c r="F37" s="146" t="s">
        <v>181</v>
      </c>
      <c r="G37" s="146" t="s">
        <v>183</v>
      </c>
      <c r="H37" s="150" t="str">
        <f>'[2]Resumen Clarivel Adames ago. 20'!H17</f>
        <v>Detenido pago cubicación</v>
      </c>
      <c r="I37" s="212">
        <f>'[2]Resumen Clarivel Adames ago. 20'!I17</f>
        <v>0</v>
      </c>
      <c r="J37" s="252" t="str">
        <f>'[2]Resumen Clarivel Adames ago. 20'!J17</f>
        <v>CAIPI detenido por pago de cubicación. Está esperando el pago para comprar los hierros y aplicar la segunda mano de pintura, se paralizó desde el 21 de agosto 2020.</v>
      </c>
      <c r="K37" s="188" t="str">
        <f>'[2]Resumen Clarivel Adames ago. 20'!K17</f>
        <v>18.8686300,-715094030</v>
      </c>
      <c r="L37" s="188" t="str">
        <f>'[2]Resumen Clarivel Adames ago. 20'!L17</f>
        <v>2N</v>
      </c>
      <c r="M37" s="26" t="str">
        <f>'[2]Resumen Clarivel Adames ago. 20'!M17</f>
        <v>Armando de Jesús Feliz Valdez</v>
      </c>
      <c r="N37" s="150" t="str">
        <f>'[2]Resumen Clarivel Adames ago. 20'!N17</f>
        <v>(809)654-6852</v>
      </c>
      <c r="O37" s="150" t="str">
        <f>'[2]Resumen Clarivel Adames ago. 20'!O17</f>
        <v>armandojfv@hotmail.com</v>
      </c>
      <c r="P37" s="150" t="str">
        <f>'[2]Resumen Clarivel Adames ago. 20'!P17</f>
        <v>2DO</v>
      </c>
      <c r="Q37" s="147">
        <f>'[2]Resumen Clarivel Adames ago. 20'!Q17</f>
        <v>0.86</v>
      </c>
    </row>
    <row r="38" spans="1:17" s="7" customFormat="1" ht="31.5" x14ac:dyDescent="0.25">
      <c r="A38" s="190">
        <f t="shared" si="0"/>
        <v>27</v>
      </c>
      <c r="B38" s="137" t="s">
        <v>164</v>
      </c>
      <c r="C38" s="137" t="s">
        <v>177</v>
      </c>
      <c r="D38" s="137" t="s">
        <v>184</v>
      </c>
      <c r="E38" s="137" t="s">
        <v>144</v>
      </c>
      <c r="F38" s="143" t="s">
        <v>185</v>
      </c>
      <c r="G38" s="143" t="s">
        <v>186</v>
      </c>
      <c r="H38" s="148" t="str">
        <f>'[2]Resumen Clarivel Adames ago. 20'!H18</f>
        <v>Inaugurado</v>
      </c>
      <c r="I38" s="213">
        <f>'[2]Resumen Clarivel Adames ago. 20'!I18</f>
        <v>0</v>
      </c>
      <c r="J38" s="251">
        <f>'[2]Resumen Clarivel Adames ago. 20'!J18</f>
        <v>0</v>
      </c>
      <c r="K38" s="195" t="str">
        <f>'[2]Resumen Clarivel Adames ago. 20'!K18</f>
        <v>18.492309,-71.420036</v>
      </c>
      <c r="L38" s="195" t="str">
        <f>'[2]Resumen Clarivel Adames ago. 20'!L18</f>
        <v>2N</v>
      </c>
      <c r="M38" s="314" t="str">
        <f>'[2]Resumen Clarivel Adames ago. 20'!M18</f>
        <v>Tirson David Medina Medina</v>
      </c>
      <c r="N38" s="148" t="str">
        <f>'[2]Resumen Clarivel Adames ago. 20'!N18</f>
        <v>809-696-2017</v>
      </c>
      <c r="O38" s="148" t="str">
        <f>'[2]Resumen Clarivel Adames ago. 20'!O18</f>
        <v>ing.medina78@hotmail.com</v>
      </c>
      <c r="P38" s="148" t="str">
        <f>'[2]Resumen Clarivel Adames ago. 20'!P18</f>
        <v>1ER</v>
      </c>
      <c r="Q38" s="149">
        <f>'[2]Resumen Clarivel Adames ago. 20'!Q18</f>
        <v>1</v>
      </c>
    </row>
    <row r="39" spans="1:17" s="7" customFormat="1" ht="94.5" x14ac:dyDescent="0.25">
      <c r="A39" s="190">
        <f t="shared" si="0"/>
        <v>28</v>
      </c>
      <c r="B39" s="139" t="s">
        <v>164</v>
      </c>
      <c r="C39" s="137" t="s">
        <v>177</v>
      </c>
      <c r="D39" s="139" t="s">
        <v>184</v>
      </c>
      <c r="E39" s="139" t="s">
        <v>144</v>
      </c>
      <c r="F39" s="140" t="s">
        <v>573</v>
      </c>
      <c r="G39" s="140" t="s">
        <v>184</v>
      </c>
      <c r="H39" s="151" t="str">
        <f>'[2]Resumen Clarivel Adames ago. 20'!H19</f>
        <v>Detenido pago cubicación</v>
      </c>
      <c r="I39" s="209">
        <f>'[2]Resumen Clarivel Adames ago. 20'!I19</f>
        <v>0</v>
      </c>
      <c r="J39" s="253" t="str">
        <f>'[2]Resumen Clarivel Adames ago. 20'!J19</f>
        <v>CAIPI detenido por cubicación. Se quedó en la colocación de block en el segundo piso ya que esta esperando pago de cubicación. Paralizado en fecha 20 de septiembre 2020.</v>
      </c>
      <c r="K39" s="159" t="str">
        <f>'[2]Resumen Clarivel Adames ago. 20'!K19</f>
        <v>18.4874830, -71.4156400</v>
      </c>
      <c r="L39" s="159">
        <f>'[2]Resumen Clarivel Adames ago. 20'!L19</f>
        <v>0</v>
      </c>
      <c r="M39" s="27" t="str">
        <f>'[2]Resumen Clarivel Adames ago. 20'!M19</f>
        <v>Ing. Mildred A. Hernández L</v>
      </c>
      <c r="N39" s="151" t="str">
        <f>'[2]Resumen Clarivel Adames ago. 20'!N19</f>
        <v>829 448 4540</v>
      </c>
      <c r="O39" s="151" t="str">
        <f>'[2]Resumen Clarivel Adames ago. 20'!O19</f>
        <v>milher0911@gmail.com</v>
      </c>
      <c r="P39" s="151" t="str">
        <f>'[2]Resumen Clarivel Adames ago. 20'!P19</f>
        <v>2DO</v>
      </c>
      <c r="Q39" s="152">
        <f>'[2]Resumen Clarivel Adames ago. 20'!Q19</f>
        <v>0.45</v>
      </c>
    </row>
    <row r="40" spans="1:17" s="7" customFormat="1" ht="110.25" x14ac:dyDescent="0.25">
      <c r="A40" s="190">
        <f t="shared" si="0"/>
        <v>29</v>
      </c>
      <c r="B40" s="152" t="s">
        <v>164</v>
      </c>
      <c r="C40" s="137" t="s">
        <v>177</v>
      </c>
      <c r="D40" s="152" t="s">
        <v>189</v>
      </c>
      <c r="E40" s="152" t="s">
        <v>144</v>
      </c>
      <c r="F40" s="152" t="s">
        <v>190</v>
      </c>
      <c r="G40" s="152" t="s">
        <v>189</v>
      </c>
      <c r="H40" s="152" t="str">
        <f>'[2]Resumen Clarivel Adames ago. 20'!H20</f>
        <v>Detenido pago cubicación</v>
      </c>
      <c r="I40" s="209">
        <f>'[2]Resumen Clarivel Adames ago. 20'!I20</f>
        <v>0</v>
      </c>
      <c r="J40" s="253" t="str">
        <f>'[2]Resumen Clarivel Adames ago. 20'!J20</f>
        <v xml:space="preserve">CAIPI detenido por cubicación. Se paralizo en septiembre 2020. Se encuentra en el pulido de pisos y colocación de hierros ya que le tiene pendiente pago de cubicación y no tiene recurso para continuar. </v>
      </c>
      <c r="K40" s="159" t="str">
        <f>'[2]Resumen Clarivel Adames ago. 20'!K20</f>
        <v>18.5067490,-71.3370160</v>
      </c>
      <c r="L40" s="159" t="str">
        <f>'[2]Resumen Clarivel Adames ago. 20'!L20</f>
        <v>1N</v>
      </c>
      <c r="M40" s="16" t="str">
        <f>'[2]Resumen Clarivel Adames ago. 20'!M20</f>
        <v>KELGOMSA SRL/Joaquina Montero</v>
      </c>
      <c r="N40" s="152" t="str">
        <f>'[2]Resumen Clarivel Adames ago. 20'!N20</f>
        <v>(829)552-8602</v>
      </c>
      <c r="O40" s="152" t="str">
        <f>'[2]Resumen Clarivel Adames ago. 20'!O20</f>
        <v>woodysjimenez@gmail.com</v>
      </c>
      <c r="P40" s="151" t="str">
        <f>'[2]Resumen Clarivel Adames ago. 20'!P20</f>
        <v>2DO</v>
      </c>
      <c r="Q40" s="152">
        <f>'[2]Resumen Clarivel Adames ago. 20'!Q20</f>
        <v>0.87</v>
      </c>
    </row>
    <row r="41" spans="1:17" s="7" customFormat="1" ht="126" x14ac:dyDescent="0.25">
      <c r="A41" s="190">
        <f t="shared" si="0"/>
        <v>30</v>
      </c>
      <c r="B41" s="147" t="s">
        <v>164</v>
      </c>
      <c r="C41" s="137" t="s">
        <v>177</v>
      </c>
      <c r="D41" s="147" t="s">
        <v>178</v>
      </c>
      <c r="E41" s="147" t="s">
        <v>144</v>
      </c>
      <c r="F41" s="147" t="s">
        <v>563</v>
      </c>
      <c r="G41" s="244" t="s">
        <v>178</v>
      </c>
      <c r="H41" s="147" t="str">
        <f>'[2]Resumen Clarivel Adames ago. 20'!H21</f>
        <v>Detenido pago cubicación</v>
      </c>
      <c r="I41" s="212">
        <f>'[2]Resumen Clarivel Adames ago. 20'!I21</f>
        <v>0</v>
      </c>
      <c r="J41" s="252" t="str">
        <f>'[2]Resumen Clarivel Adames ago. 20'!J21</f>
        <v>AIPI detenido por cubicación. Se encuentra a nivel de encofrado de la losa de los módulos de cocina, lactante, de 1ª 2, 2 a 3 y caseta de cisterna, Solo esperando le paguen cubicación pendiente, detenido desde el 24 de junio 2020.</v>
      </c>
      <c r="K41" s="188" t="str">
        <f>'[2]Resumen Clarivel Adames ago. 20'!K21</f>
        <v>18.492515,-71.481005</v>
      </c>
      <c r="L41" s="188" t="str">
        <f>'[2]Resumen Clarivel Adames ago. 20'!L21</f>
        <v>1N</v>
      </c>
      <c r="M41" s="58" t="str">
        <f>'[2]Resumen Clarivel Adames ago. 20'!M21</f>
        <v>Antonio De Oleo Rodríguez (Fallecido).
Nuevo Contratista: Renzo Cuevas</v>
      </c>
      <c r="N41" s="147" t="str">
        <f>'[2]Resumen Clarivel Adames ago. 20'!N21</f>
        <v>809 224 5949</v>
      </c>
      <c r="O41" s="147">
        <f>'[2]Resumen Clarivel Adames ago. 20'!O21</f>
        <v>0</v>
      </c>
      <c r="P41" s="150" t="str">
        <f>'[2]Resumen Clarivel Adames ago. 20'!P21</f>
        <v>1ER</v>
      </c>
      <c r="Q41" s="147">
        <f>'[2]Resumen Clarivel Adames ago. 20'!Q21</f>
        <v>0.45</v>
      </c>
    </row>
    <row r="42" spans="1:17" s="7" customFormat="1" ht="31.5" x14ac:dyDescent="0.25">
      <c r="A42" s="190">
        <f t="shared" si="0"/>
        <v>31</v>
      </c>
      <c r="B42" s="137" t="s">
        <v>164</v>
      </c>
      <c r="C42" s="137" t="s">
        <v>187</v>
      </c>
      <c r="D42" s="137" t="s">
        <v>191</v>
      </c>
      <c r="E42" s="137" t="s">
        <v>144</v>
      </c>
      <c r="F42" s="143" t="s">
        <v>192</v>
      </c>
      <c r="G42" s="143" t="s">
        <v>193</v>
      </c>
      <c r="H42" s="148" t="str">
        <f>'[2]Resumen Clarivel Adames ago. 20'!H22</f>
        <v>Inaugurado</v>
      </c>
      <c r="I42" s="213">
        <f>'[2]Resumen Clarivel Adames ago. 20'!I22</f>
        <v>0</v>
      </c>
      <c r="J42" s="251">
        <f>'[2]Resumen Clarivel Adames ago. 20'!J22</f>
        <v>0</v>
      </c>
      <c r="K42" s="195" t="str">
        <f>'[2]Resumen Clarivel Adames ago. 20'!K22</f>
        <v>18.531413,-71.779258</v>
      </c>
      <c r="L42" s="195" t="str">
        <f>'[2]Resumen Clarivel Adames ago. 20'!L22</f>
        <v>1N</v>
      </c>
      <c r="M42" s="311">
        <f>'[2]Resumen Clarivel Adames ago. 20'!M22</f>
        <v>0</v>
      </c>
      <c r="N42" s="148">
        <f>'[2]Resumen Clarivel Adames ago. 20'!N22</f>
        <v>0</v>
      </c>
      <c r="O42" s="148">
        <f>'[2]Resumen Clarivel Adames ago. 20'!O22</f>
        <v>0</v>
      </c>
      <c r="P42" s="148" t="str">
        <f>'[2]Resumen Clarivel Adames ago. 20'!P22</f>
        <v>1ER</v>
      </c>
      <c r="Q42" s="149">
        <f>'[2]Resumen Clarivel Adames ago. 20'!Q22</f>
        <v>1</v>
      </c>
    </row>
    <row r="43" spans="1:17" s="7" customFormat="1" ht="31.5" x14ac:dyDescent="0.25">
      <c r="A43" s="190">
        <f t="shared" si="0"/>
        <v>32</v>
      </c>
      <c r="B43" s="139" t="s">
        <v>164</v>
      </c>
      <c r="C43" s="137" t="s">
        <v>187</v>
      </c>
      <c r="D43" s="139" t="s">
        <v>191</v>
      </c>
      <c r="E43" s="139" t="s">
        <v>144</v>
      </c>
      <c r="F43" s="140" t="s">
        <v>194</v>
      </c>
      <c r="G43" s="140" t="s">
        <v>195</v>
      </c>
      <c r="H43" s="151" t="str">
        <f>'[2]Resumen Clarivel Adames ago. 20'!H23</f>
        <v>Inaugurado</v>
      </c>
      <c r="I43" s="209">
        <f>'[2]Resumen Clarivel Adames ago. 20'!I23</f>
        <v>0</v>
      </c>
      <c r="J43" s="253">
        <f>'[2]Resumen Clarivel Adames ago. 20'!J23</f>
        <v>0</v>
      </c>
      <c r="K43" s="159" t="str">
        <f>'[2]Resumen Clarivel Adames ago. 20'!K23</f>
        <v>18.4931650,-71.856789</v>
      </c>
      <c r="L43" s="159" t="str">
        <f>'[2]Resumen Clarivel Adames ago. 20'!L23</f>
        <v>2N</v>
      </c>
      <c r="M43" s="311">
        <f>'[2]Resumen Clarivel Adames ago. 20'!M23</f>
        <v>0</v>
      </c>
      <c r="N43" s="151">
        <f>'[2]Resumen Clarivel Adames ago. 20'!N23</f>
        <v>0</v>
      </c>
      <c r="O43" s="151">
        <f>'[2]Resumen Clarivel Adames ago. 20'!O23</f>
        <v>0</v>
      </c>
      <c r="P43" s="151" t="str">
        <f>'[2]Resumen Clarivel Adames ago. 20'!P23</f>
        <v>1ER</v>
      </c>
      <c r="Q43" s="152">
        <f>'[2]Resumen Clarivel Adames ago. 20'!Q23</f>
        <v>1</v>
      </c>
    </row>
    <row r="44" spans="1:17" s="7" customFormat="1" ht="62.25" customHeight="1" x14ac:dyDescent="0.25">
      <c r="A44" s="190">
        <f t="shared" si="0"/>
        <v>33</v>
      </c>
      <c r="B44" s="139" t="s">
        <v>164</v>
      </c>
      <c r="C44" s="137" t="s">
        <v>187</v>
      </c>
      <c r="D44" s="139" t="s">
        <v>196</v>
      </c>
      <c r="E44" s="139" t="s">
        <v>144</v>
      </c>
      <c r="F44" s="140" t="str">
        <f>+D44</f>
        <v>Duvergé</v>
      </c>
      <c r="G44" s="140" t="s">
        <v>196</v>
      </c>
      <c r="H44" s="151" t="str">
        <f>'[2]Resumen Clarivel Adames ago. 20'!H24</f>
        <v>En Construcción</v>
      </c>
      <c r="I44" s="209">
        <f>'[2]Resumen Clarivel Adames ago. 20'!I24</f>
        <v>0</v>
      </c>
      <c r="J44" s="257" t="str">
        <f>'[2]Resumen Clarivel Adames ago. 20'!J24</f>
        <v>CAIPI en construcción. Tienen la losa de entrepiso lista para vaciado solo esperan el turno de la hormigonera para el vaciado de la losa</v>
      </c>
      <c r="K44" s="159" t="str">
        <f>'[2]Resumen Clarivel Adames ago. 20'!K24</f>
        <v>18.380918,-71.531626</v>
      </c>
      <c r="L44" s="159" t="str">
        <f>'[2]Resumen Clarivel Adames ago. 20'!L24</f>
        <v>2N</v>
      </c>
      <c r="M44" s="27" t="str">
        <f>'[2]Resumen Clarivel Adames ago. 20'!M24</f>
        <v>CONSTRUMAGNA SRL/Héctor Peña</v>
      </c>
      <c r="N44" s="151" t="str">
        <f>'[2]Resumen Clarivel Adames ago. 20'!N24</f>
        <v>(809)958-5090</v>
      </c>
      <c r="O44" s="151" t="str">
        <f>'[2]Resumen Clarivel Adames ago. 20'!O24</f>
        <v>construmagna@hotmail.com</v>
      </c>
      <c r="P44" s="151" t="str">
        <f>'[2]Resumen Clarivel Adames ago. 20'!P24</f>
        <v>2DO</v>
      </c>
      <c r="Q44" s="152">
        <f>'[2]Resumen Clarivel Adames ago. 20'!Q24</f>
        <v>0.41</v>
      </c>
    </row>
    <row r="45" spans="1:17" s="7" customFormat="1" ht="63" x14ac:dyDescent="0.25">
      <c r="A45" s="190">
        <f t="shared" si="0"/>
        <v>34</v>
      </c>
      <c r="B45" s="145" t="s">
        <v>164</v>
      </c>
      <c r="C45" s="137" t="s">
        <v>187</v>
      </c>
      <c r="D45" s="220" t="s">
        <v>188</v>
      </c>
      <c r="E45" s="145" t="s">
        <v>144</v>
      </c>
      <c r="F45" s="189" t="s">
        <v>550</v>
      </c>
      <c r="G45" s="189" t="s">
        <v>188</v>
      </c>
      <c r="H45" s="150" t="str">
        <f>'[2]Resumen Clarivel Adames ago. 20'!H25</f>
        <v>Detenido pago cubicación</v>
      </c>
      <c r="I45" s="212">
        <f>'[2]Resumen Clarivel Adames ago. 20'!I25</f>
        <v>0</v>
      </c>
      <c r="J45" s="252" t="str">
        <f>'[2]Resumen Clarivel Adames ago. 20'!J25</f>
        <v>CAIPI detenido por cubicación. Se detuvo en julio 2020, en el encofrado de las columnas del primer nivel y la rampa.</v>
      </c>
      <c r="K45" s="188" t="str">
        <f>'[2]Resumen Clarivel Adames ago. 20'!K25</f>
        <v>18.575445,-71.728433</v>
      </c>
      <c r="L45" s="188" t="str">
        <f>'[2]Resumen Clarivel Adames ago. 20'!L25</f>
        <v>2N</v>
      </c>
      <c r="M45" s="26" t="str">
        <f>'[2]Resumen Clarivel Adames ago. 20'!M25</f>
        <v>MASYMAX MULTI SERV. SRL/Juan Jiménez</v>
      </c>
      <c r="N45" s="150" t="str">
        <f>'[2]Resumen Clarivel Adames ago. 20'!N25</f>
        <v>(809) 619-8827</v>
      </c>
      <c r="O45" s="150">
        <f>'[2]Resumen Clarivel Adames ago. 20'!O25</f>
        <v>0</v>
      </c>
      <c r="P45" s="151" t="str">
        <f>'[2]Resumen Clarivel Adames ago. 20'!P25</f>
        <v>2DO</v>
      </c>
      <c r="Q45" s="147">
        <f>'[2]Resumen Clarivel Adames ago. 20'!Q25</f>
        <v>0.36</v>
      </c>
    </row>
    <row r="46" spans="1:17" s="7" customFormat="1" ht="31.5" x14ac:dyDescent="0.25">
      <c r="A46" s="190">
        <f t="shared" si="0"/>
        <v>35</v>
      </c>
      <c r="B46" s="137" t="s">
        <v>603</v>
      </c>
      <c r="C46" s="137" t="s">
        <v>197</v>
      </c>
      <c r="D46" s="137" t="s">
        <v>197</v>
      </c>
      <c r="E46" s="137" t="s">
        <v>198</v>
      </c>
      <c r="F46" s="143" t="s">
        <v>199</v>
      </c>
      <c r="G46" s="143" t="s">
        <v>200</v>
      </c>
      <c r="H46" s="143" t="str">
        <f>'[3]Resumen Ángela Santana Sept 20'!H10</f>
        <v>Inaugurado</v>
      </c>
      <c r="I46" s="213">
        <f>'[3]Resumen Ángela Santana Sept 20'!I10</f>
        <v>0</v>
      </c>
      <c r="J46" s="251">
        <f>'[3]Resumen Ángela Santana Sept 20'!J10</f>
        <v>0</v>
      </c>
      <c r="K46" s="195" t="str">
        <f>'[3]Resumen Ángela Santana Sept 20'!K10</f>
        <v>18.503905, -69.913558</v>
      </c>
      <c r="L46" s="195">
        <f>'[3]Resumen Ángela Santana Sept 20'!L10</f>
        <v>0</v>
      </c>
      <c r="M46" s="21" t="str">
        <f>'[3]Resumen Ángela Santana Sept 20'!M10</f>
        <v>Rocío Sugey Batista Cabrera</v>
      </c>
      <c r="N46" s="143" t="str">
        <f>'[3]Resumen Ángela Santana Sept 20'!N10</f>
        <v>829-723-3390</v>
      </c>
      <c r="O46" s="143" t="str">
        <f>'[3]Resumen Ángela Santana Sept 20'!O10</f>
        <v>Rocio_batista@hotmail.com</v>
      </c>
      <c r="P46" s="143" t="str">
        <f>'[3]Resumen Ángela Santana Sept 20'!P10</f>
        <v>1ER</v>
      </c>
      <c r="Q46" s="149">
        <f>'[3]Resumen Ángela Santana Sept 20'!Q10</f>
        <v>1</v>
      </c>
    </row>
    <row r="47" spans="1:17" s="7" customFormat="1" ht="31.5" x14ac:dyDescent="0.25">
      <c r="A47" s="190">
        <f t="shared" si="0"/>
        <v>36</v>
      </c>
      <c r="B47" s="137" t="s">
        <v>603</v>
      </c>
      <c r="C47" s="137" t="s">
        <v>197</v>
      </c>
      <c r="D47" s="139" t="s">
        <v>197</v>
      </c>
      <c r="E47" s="139" t="s">
        <v>198</v>
      </c>
      <c r="F47" s="140" t="s">
        <v>201</v>
      </c>
      <c r="G47" s="140" t="s">
        <v>202</v>
      </c>
      <c r="H47" s="140" t="str">
        <f>'[3]Resumen Ángela Santana Sept 20'!H11</f>
        <v>Inaugurado</v>
      </c>
      <c r="I47" s="209">
        <f>'[3]Resumen Ángela Santana Sept 20'!I11</f>
        <v>0</v>
      </c>
      <c r="J47" s="253">
        <f>'[3]Resumen Ángela Santana Sept 20'!J11</f>
        <v>0</v>
      </c>
      <c r="K47" s="159" t="str">
        <f>'[3]Resumen Ángela Santana Sept 20'!K11</f>
        <v>18.518757, -69.986506</v>
      </c>
      <c r="L47" s="159">
        <f>'[3]Resumen Ángela Santana Sept 20'!L11</f>
        <v>0</v>
      </c>
      <c r="M47" s="19" t="str">
        <f>'[3]Resumen Ángela Santana Sept 20'!M11</f>
        <v>Carlos Ismael Hernández Rivera</v>
      </c>
      <c r="N47" s="140" t="str">
        <f>'[3]Resumen Ángela Santana Sept 20'!N11</f>
        <v>(809) 962-7120</v>
      </c>
      <c r="O47" s="140" t="str">
        <f>'[3]Resumen Ángela Santana Sept 20'!O11</f>
        <v>eferia@construtek.com</v>
      </c>
      <c r="P47" s="140" t="str">
        <f>'[3]Resumen Ángela Santana Sept 20'!P11</f>
        <v>1ER</v>
      </c>
      <c r="Q47" s="152">
        <f>'[3]Resumen Ángela Santana Sept 20'!Q11</f>
        <v>1</v>
      </c>
    </row>
    <row r="48" spans="1:17" s="7" customFormat="1" ht="47.25" x14ac:dyDescent="0.25">
      <c r="A48" s="190">
        <f t="shared" si="0"/>
        <v>37</v>
      </c>
      <c r="B48" s="137" t="s">
        <v>603</v>
      </c>
      <c r="C48" s="137" t="s">
        <v>197</v>
      </c>
      <c r="D48" s="139" t="s">
        <v>197</v>
      </c>
      <c r="E48" s="139" t="s">
        <v>198</v>
      </c>
      <c r="F48" s="140" t="s">
        <v>203</v>
      </c>
      <c r="G48" s="140" t="s">
        <v>204</v>
      </c>
      <c r="H48" s="140" t="str">
        <f>'[3]Resumen Ángela Santana Sept 20'!H12</f>
        <v>Inaugurado</v>
      </c>
      <c r="I48" s="209">
        <f>'[3]Resumen Ángela Santana Sept 20'!I12</f>
        <v>0</v>
      </c>
      <c r="J48" s="253">
        <f>'[3]Resumen Ángela Santana Sept 20'!J12</f>
        <v>0</v>
      </c>
      <c r="K48" s="159" t="str">
        <f>'[3]Resumen Ángela Santana Sept 20'!K12</f>
        <v>18.4889635,-69.9675451</v>
      </c>
      <c r="L48" s="159">
        <f>'[3]Resumen Ángela Santana Sept 20'!L12</f>
        <v>0</v>
      </c>
      <c r="M48" s="19" t="str">
        <f>'[3]Resumen Ángela Santana Sept 20'!M12</f>
        <v>Represntanciones y Servicios Industriales WI, S.R.L.</v>
      </c>
      <c r="N48" s="140" t="str">
        <f>'[3]Resumen Ángela Santana Sept 20'!N12</f>
        <v>809-751-5890</v>
      </c>
      <c r="O48" s="140" t="str">
        <f>'[3]Resumen Ángela Santana Sept 20'!O12</f>
        <v>maggisanchez56@yahoo.es</v>
      </c>
      <c r="P48" s="140" t="str">
        <f>'[3]Resumen Ángela Santana Sept 20'!P12</f>
        <v>1ER</v>
      </c>
      <c r="Q48" s="152">
        <f>'[3]Resumen Ángela Santana Sept 20'!Q12</f>
        <v>1</v>
      </c>
    </row>
    <row r="49" spans="1:17" s="7" customFormat="1" ht="31.5" x14ac:dyDescent="0.25">
      <c r="A49" s="190">
        <f t="shared" si="0"/>
        <v>38</v>
      </c>
      <c r="B49" s="137" t="s">
        <v>603</v>
      </c>
      <c r="C49" s="137" t="s">
        <v>197</v>
      </c>
      <c r="D49" s="139" t="s">
        <v>197</v>
      </c>
      <c r="E49" s="139" t="s">
        <v>198</v>
      </c>
      <c r="F49" s="140" t="s">
        <v>205</v>
      </c>
      <c r="G49" s="140" t="s">
        <v>205</v>
      </c>
      <c r="H49" s="140" t="str">
        <f>'[3]Resumen Ángela Santana Sept 20'!H13</f>
        <v>Sin Iniciar</v>
      </c>
      <c r="I49" s="209" t="str">
        <f>'[3]Resumen Ángela Santana Sept 20'!I13</f>
        <v xml:space="preserve">Sin Propuesta </v>
      </c>
      <c r="J49" s="253" t="str">
        <f>'[3]Resumen Ángela Santana Sept 20'!J13</f>
        <v>Se rescindió el contrato</v>
      </c>
      <c r="K49" s="159">
        <f>'[3]Resumen Ángela Santana Sept 20'!K13</f>
        <v>0</v>
      </c>
      <c r="L49" s="159">
        <f>'[3]Resumen Ángela Santana Sept 20'!L13</f>
        <v>0</v>
      </c>
      <c r="M49" s="19" t="str">
        <f>'[3]Resumen Ángela Santana Sept 20'!M13</f>
        <v>Construcciones y Tecnología SRL/Eudad Feria</v>
      </c>
      <c r="N49" s="140" t="str">
        <f>'[3]Resumen Ángela Santana Sept 20'!N13</f>
        <v>(809)697-2529</v>
      </c>
      <c r="O49" s="140" t="str">
        <f>'[3]Resumen Ángela Santana Sept 20'!O13</f>
        <v>eferia@construtek.com</v>
      </c>
      <c r="P49" s="140" t="str">
        <f>'[3]Resumen Ángela Santana Sept 20'!P13</f>
        <v>2DO</v>
      </c>
      <c r="Q49" s="152">
        <f>'[3]Resumen Ángela Santana Sept 20'!Q13</f>
        <v>0</v>
      </c>
    </row>
    <row r="50" spans="1:17" s="7" customFormat="1" ht="31.5" x14ac:dyDescent="0.25">
      <c r="A50" s="190">
        <f t="shared" si="0"/>
        <v>39</v>
      </c>
      <c r="B50" s="137" t="s">
        <v>603</v>
      </c>
      <c r="C50" s="137" t="s">
        <v>197</v>
      </c>
      <c r="D50" s="139" t="s">
        <v>197</v>
      </c>
      <c r="E50" s="139" t="s">
        <v>198</v>
      </c>
      <c r="F50" s="140" t="s">
        <v>206</v>
      </c>
      <c r="G50" s="140" t="s">
        <v>206</v>
      </c>
      <c r="H50" s="140" t="str">
        <f>'[3]Resumen Ángela Santana Sept 20'!H14</f>
        <v>Sin Iniciar</v>
      </c>
      <c r="I50" s="209" t="str">
        <f>'[3]Resumen Ángela Santana Sept 20'!I14</f>
        <v xml:space="preserve">Sin Propuesta </v>
      </c>
      <c r="J50" s="253">
        <f>'[3]Resumen Ángela Santana Sept 20'!J14</f>
        <v>0</v>
      </c>
      <c r="K50" s="159">
        <f>'[3]Resumen Ángela Santana Sept 20'!K14</f>
        <v>0</v>
      </c>
      <c r="L50" s="159">
        <f>'[3]Resumen Ángela Santana Sept 20'!L14</f>
        <v>0</v>
      </c>
      <c r="M50" s="19" t="str">
        <f>'[3]Resumen Ángela Santana Sept 20'!M14</f>
        <v>Coart Arquitect, SRL / Claudia Caamaño</v>
      </c>
      <c r="N50" s="140" t="str">
        <f>'[3]Resumen Ángela Santana Sept 20'!N14</f>
        <v>809-227-6707 / 
809-729-7170</v>
      </c>
      <c r="O50" s="140" t="str">
        <f>'[3]Resumen Ángela Santana Sept 20'!O14</f>
        <v>claudiachalas@gmail.com</v>
      </c>
      <c r="P50" s="140" t="str">
        <f>'[3]Resumen Ángela Santana Sept 20'!P14</f>
        <v>1ER</v>
      </c>
      <c r="Q50" s="152">
        <f>'[3]Resumen Ángela Santana Sept 20'!Q14</f>
        <v>0</v>
      </c>
    </row>
    <row r="51" spans="1:17" s="7" customFormat="1" ht="31.5" x14ac:dyDescent="0.25">
      <c r="A51" s="190">
        <f t="shared" si="0"/>
        <v>40</v>
      </c>
      <c r="B51" s="137" t="s">
        <v>603</v>
      </c>
      <c r="C51" s="137" t="s">
        <v>197</v>
      </c>
      <c r="D51" s="139" t="s">
        <v>197</v>
      </c>
      <c r="E51" s="139" t="s">
        <v>198</v>
      </c>
      <c r="F51" s="140" t="s">
        <v>208</v>
      </c>
      <c r="G51" s="140" t="s">
        <v>208</v>
      </c>
      <c r="H51" s="140" t="str">
        <f>'[3]Resumen Ángela Santana Sept 20'!H15</f>
        <v>Sin Iniciar</v>
      </c>
      <c r="I51" s="209" t="str">
        <f>'[3]Resumen Ángela Santana Sept 20'!I15</f>
        <v xml:space="preserve">Sin Propuesta </v>
      </c>
      <c r="J51" s="253">
        <f>'[3]Resumen Ángela Santana Sept 20'!J15</f>
        <v>0</v>
      </c>
      <c r="K51" s="159">
        <f>'[3]Resumen Ángela Santana Sept 20'!K15</f>
        <v>0</v>
      </c>
      <c r="L51" s="159">
        <f>'[3]Resumen Ángela Santana Sept 20'!L15</f>
        <v>0</v>
      </c>
      <c r="M51" s="19" t="str">
        <f>'[3]Resumen Ángela Santana Sept 20'!M15</f>
        <v>Johanny Estrella Rivera</v>
      </c>
      <c r="N51" s="140" t="str">
        <f>'[3]Resumen Ángela Santana Sept 20'!N15</f>
        <v>829-407-5745</v>
      </c>
      <c r="O51" s="140" t="str">
        <f>'[3]Resumen Ángela Santana Sept 20'!O15</f>
        <v>johanny_estrella@hotmail.com</v>
      </c>
      <c r="P51" s="140" t="str">
        <f>'[3]Resumen Ángela Santana Sept 20'!P15</f>
        <v>1ER</v>
      </c>
      <c r="Q51" s="152">
        <f>'[3]Resumen Ángela Santana Sept 20'!Q15</f>
        <v>0</v>
      </c>
    </row>
    <row r="52" spans="1:17" s="7" customFormat="1" ht="31.5" x14ac:dyDescent="0.25">
      <c r="A52" s="190">
        <f t="shared" si="0"/>
        <v>41</v>
      </c>
      <c r="B52" s="137" t="s">
        <v>603</v>
      </c>
      <c r="C52" s="137" t="s">
        <v>197</v>
      </c>
      <c r="D52" s="139" t="s">
        <v>197</v>
      </c>
      <c r="E52" s="139" t="s">
        <v>198</v>
      </c>
      <c r="F52" s="140" t="s">
        <v>209</v>
      </c>
      <c r="G52" s="140" t="s">
        <v>210</v>
      </c>
      <c r="H52" s="140" t="str">
        <f>'[3]Resumen Ángela Santana Sept 20'!H16</f>
        <v>Sin Iniciar</v>
      </c>
      <c r="I52" s="209" t="str">
        <f>'[3]Resumen Ángela Santana Sept 20'!I16</f>
        <v xml:space="preserve">Sin Propuesta </v>
      </c>
      <c r="J52" s="253">
        <f>'[3]Resumen Ángela Santana Sept 20'!J16</f>
        <v>0</v>
      </c>
      <c r="K52" s="159">
        <f>'[3]Resumen Ángela Santana Sept 20'!K16</f>
        <v>0</v>
      </c>
      <c r="L52" s="159">
        <f>'[3]Resumen Ángela Santana Sept 20'!L16</f>
        <v>0</v>
      </c>
      <c r="M52" s="19" t="str">
        <f>'[3]Resumen Ángela Santana Sept 20'!M16</f>
        <v>Constructora Yeara SRL/Edwin Yeara</v>
      </c>
      <c r="N52" s="140" t="str">
        <f>'[3]Resumen Ángela Santana Sept 20'!N16</f>
        <v>(809)958-2629</v>
      </c>
      <c r="O52" s="140" t="str">
        <f>'[3]Resumen Ángela Santana Sept 20'!O16</f>
        <v>constructorayeara@gmail.com</v>
      </c>
      <c r="P52" s="140" t="str">
        <f>'[3]Resumen Ángela Santana Sept 20'!P16</f>
        <v>2DO</v>
      </c>
      <c r="Q52" s="152">
        <f>'[3]Resumen Ángela Santana Sept 20'!Q16</f>
        <v>0</v>
      </c>
    </row>
    <row r="53" spans="1:17" s="7" customFormat="1" ht="157.5" x14ac:dyDescent="0.25">
      <c r="A53" s="190">
        <f t="shared" si="0"/>
        <v>42</v>
      </c>
      <c r="B53" s="137" t="s">
        <v>603</v>
      </c>
      <c r="C53" s="137" t="s">
        <v>197</v>
      </c>
      <c r="D53" s="139" t="s">
        <v>197</v>
      </c>
      <c r="E53" s="139" t="s">
        <v>198</v>
      </c>
      <c r="F53" s="140" t="s">
        <v>211</v>
      </c>
      <c r="G53" s="140" t="s">
        <v>212</v>
      </c>
      <c r="H53" s="140" t="str">
        <f>'[3]Resumen Ángela Santana Sept 20'!H17</f>
        <v>Detenido</v>
      </c>
      <c r="I53" s="209">
        <f>'[3]Resumen Ángela Santana Sept 20'!I17</f>
        <v>0</v>
      </c>
      <c r="J53" s="253" t="str">
        <f>'[3]Resumen Ángela Santana Sept 20'!J17</f>
        <v xml:space="preserve">CAIPI detenido. Aún en espera desde agosto del 2019, los resultados de una licitación que se haria para la adecuación del terreno debido al elevado costo del mismo y aún se mantiene en la misma situación.  Como se puede observar en las fotos el terreno se está tomando como vertedero del barrio. </v>
      </c>
      <c r="K53" s="159" t="str">
        <f>'[3]Resumen Ángela Santana Sept 20'!K17</f>
        <v>18.506004, -69.918172</v>
      </c>
      <c r="L53" s="159">
        <f>'[3]Resumen Ángela Santana Sept 20'!L17</f>
        <v>0</v>
      </c>
      <c r="M53" s="19" t="str">
        <f>'[3]Resumen Ángela Santana Sept 20'!M17</f>
        <v>Const. Serviterm, SRL / Ricardo Peña</v>
      </c>
      <c r="N53" s="140" t="str">
        <f>'[3]Resumen Ángela Santana Sept 20'!N17</f>
        <v>809-801-6676</v>
      </c>
      <c r="O53" s="140" t="str">
        <f>'[3]Resumen Ángela Santana Sept 20'!O17</f>
        <v>p.ricardo01@gmail.com</v>
      </c>
      <c r="P53" s="140" t="str">
        <f>'[3]Resumen Ángela Santana Sept 20'!P17</f>
        <v>1ER</v>
      </c>
      <c r="Q53" s="152">
        <f>'[3]Resumen Ángela Santana Sept 20'!Q17</f>
        <v>0.05</v>
      </c>
    </row>
    <row r="54" spans="1:17" s="7" customFormat="1" ht="126" x14ac:dyDescent="0.25">
      <c r="A54" s="190">
        <f t="shared" si="0"/>
        <v>43</v>
      </c>
      <c r="B54" s="137" t="s">
        <v>603</v>
      </c>
      <c r="C54" s="137" t="s">
        <v>197</v>
      </c>
      <c r="D54" s="139" t="s">
        <v>197</v>
      </c>
      <c r="E54" s="139" t="s">
        <v>198</v>
      </c>
      <c r="F54" s="140" t="s">
        <v>213</v>
      </c>
      <c r="G54" s="140" t="s">
        <v>212</v>
      </c>
      <c r="H54" s="140" t="str">
        <f>'[3]Resumen Ángela Santana Sept 20'!H18</f>
        <v>Detenido</v>
      </c>
      <c r="I54" s="209">
        <f>'[3]Resumen Ángela Santana Sept 20'!I18</f>
        <v>0</v>
      </c>
      <c r="J54" s="253" t="str">
        <f>'[3]Resumen Ángela Santana Sept 20'!J18</f>
        <v xml:space="preserve">CAIPI detenido. Aún en espera desde agosto del año pasado, los resultados de una licitación que se hará para la adecuación del terreno debido al elevado costo del mismo y aún se mantiene en la misma situación.  El sector tiene el terreno como vertedero. </v>
      </c>
      <c r="K54" s="159" t="str">
        <f>'[3]Resumen Ángela Santana Sept 20'!K18</f>
        <v>18.506004, -69.918172</v>
      </c>
      <c r="L54" s="159">
        <f>'[3]Resumen Ángela Santana Sept 20'!L18</f>
        <v>0</v>
      </c>
      <c r="M54" s="19" t="str">
        <f>'[3]Resumen Ángela Santana Sept 20'!M18</f>
        <v>JFS Construcciones., SRL / José R. Santana</v>
      </c>
      <c r="N54" s="140" t="str">
        <f>'[3]Resumen Ángela Santana Sept 20'!N18</f>
        <v>829-604-4213</v>
      </c>
      <c r="O54" s="140" t="str">
        <f>'[3]Resumen Ángela Santana Sept 20'!O18</f>
        <v>josesantana2320@gmail.com</v>
      </c>
      <c r="P54" s="140" t="str">
        <f>'[3]Resumen Ángela Santana Sept 20'!P18</f>
        <v>1ER</v>
      </c>
      <c r="Q54" s="152">
        <f>'[3]Resumen Ángela Santana Sept 20'!Q18</f>
        <v>0.05</v>
      </c>
    </row>
    <row r="55" spans="1:17" s="7" customFormat="1" ht="31.5" x14ac:dyDescent="0.25">
      <c r="A55" s="190">
        <f t="shared" si="0"/>
        <v>44</v>
      </c>
      <c r="B55" s="318" t="s">
        <v>603</v>
      </c>
      <c r="C55" s="318" t="s">
        <v>197</v>
      </c>
      <c r="D55" s="290" t="s">
        <v>197</v>
      </c>
      <c r="E55" s="290" t="s">
        <v>198</v>
      </c>
      <c r="F55" s="291" t="s">
        <v>596</v>
      </c>
      <c r="G55" s="291" t="s">
        <v>633</v>
      </c>
      <c r="H55" s="140" t="str">
        <f>'[3]Resumen Ángela Santana Sept 20'!H19</f>
        <v>Sin Iniciar</v>
      </c>
      <c r="I55" s="209" t="str">
        <f>'[3]Resumen Ángela Santana Sept 20'!I19</f>
        <v xml:space="preserve">Con Propuesta </v>
      </c>
      <c r="J55" s="253">
        <f>'[3]Resumen Ángela Santana Sept 20'!J19</f>
        <v>0</v>
      </c>
      <c r="K55" s="159">
        <f>'[3]Resumen Ángela Santana Sept 20'!K19</f>
        <v>0</v>
      </c>
      <c r="L55" s="159">
        <f>'[3]Resumen Ángela Santana Sept 20'!L19</f>
        <v>0</v>
      </c>
      <c r="M55" s="140" t="str">
        <f>'[3]Resumen Ángela Santana Sept 20'!M19</f>
        <v>Arq. Pérez &amp;  Pérez SRL/Miguel E. Pérez C.</v>
      </c>
      <c r="N55" s="140" t="str">
        <f>'[3]Resumen Ángela Santana Sept 20'!N19</f>
        <v>(809)977-8600</v>
      </c>
      <c r="O55" s="140" t="str">
        <f>'[3]Resumen Ángela Santana Sept 20'!O19</f>
        <v>dtodoterminaciones@gmail.com</v>
      </c>
      <c r="P55" s="140" t="str">
        <f>'[3]Resumen Ángela Santana Sept 20'!P19</f>
        <v>2DO</v>
      </c>
      <c r="Q55" s="152">
        <f>'[3]Resumen Ángela Santana Sept 20'!Q19</f>
        <v>0</v>
      </c>
    </row>
    <row r="56" spans="1:17" s="7" customFormat="1" ht="157.5" x14ac:dyDescent="0.25">
      <c r="A56" s="190">
        <f t="shared" si="0"/>
        <v>45</v>
      </c>
      <c r="B56" s="137" t="s">
        <v>603</v>
      </c>
      <c r="C56" s="137" t="s">
        <v>197</v>
      </c>
      <c r="D56" s="139" t="s">
        <v>197</v>
      </c>
      <c r="E56" s="139" t="s">
        <v>198</v>
      </c>
      <c r="F56" s="140" t="s">
        <v>219</v>
      </c>
      <c r="G56" s="140" t="s">
        <v>219</v>
      </c>
      <c r="H56" s="140" t="str">
        <f>'[3]Resumen Ángela Santana Sept 20'!H20</f>
        <v>Detenido pago terreno</v>
      </c>
      <c r="I56" s="209">
        <f>'[3]Resumen Ángela Santana Sept 20'!I20</f>
        <v>0</v>
      </c>
      <c r="J56" s="253" t="str">
        <f>'[3]Resumen Ángela Santana Sept 20'!J20</f>
        <v>CAIPI detenida por pago de terreno. El propietario está renegociando los precios. La contratista realizó el levantamiento topográfico, aun no recibe el avance.    En el terreno se instaló un negocio. La Oficina de Gestión Inmobiliaria del MINERD le está dando seguimiento a este caso</v>
      </c>
      <c r="K56" s="159" t="str">
        <f>'[3]Resumen Ángela Santana Sept 20'!K20</f>
        <v>18.481941,-69.886833</v>
      </c>
      <c r="L56" s="159">
        <f>'[3]Resumen Ángela Santana Sept 20'!L20</f>
        <v>0</v>
      </c>
      <c r="M56" s="19" t="str">
        <f>'[3]Resumen Ángela Santana Sept 20'!M20</f>
        <v>Joeliz Mejía Gratereaux</v>
      </c>
      <c r="N56" s="140" t="str">
        <f>'[3]Resumen Ángela Santana Sept 20'!N20</f>
        <v>(829)308-9494</v>
      </c>
      <c r="O56" s="140" t="str">
        <f>'[3]Resumen Ángela Santana Sept 20'!O20</f>
        <v>joem16@gmail.com</v>
      </c>
      <c r="P56" s="140" t="str">
        <f>'[3]Resumen Ángela Santana Sept 20'!P20</f>
        <v>2DO</v>
      </c>
      <c r="Q56" s="152">
        <f>'[3]Resumen Ángela Santana Sept 20'!Q20</f>
        <v>0</v>
      </c>
    </row>
    <row r="57" spans="1:17" s="7" customFormat="1" ht="157.5" x14ac:dyDescent="0.25">
      <c r="A57" s="190">
        <f t="shared" si="0"/>
        <v>46</v>
      </c>
      <c r="B57" s="137" t="s">
        <v>603</v>
      </c>
      <c r="C57" s="137" t="s">
        <v>197</v>
      </c>
      <c r="D57" s="139" t="s">
        <v>197</v>
      </c>
      <c r="E57" s="139" t="s">
        <v>198</v>
      </c>
      <c r="F57" s="140" t="s">
        <v>220</v>
      </c>
      <c r="G57" s="140" t="s">
        <v>221</v>
      </c>
      <c r="H57" s="140" t="str">
        <f>'[3]Resumen Ángela Santana Sept 20'!H21</f>
        <v>Detenido pago cubicación</v>
      </c>
      <c r="I57" s="209">
        <f>'[3]Resumen Ángela Santana Sept 20'!I21</f>
        <v>0</v>
      </c>
      <c r="J57" s="253" t="str">
        <f>'[3]Resumen Ángela Santana Sept 20'!J21</f>
        <v>CAIPI detenido. El contratista ya tiene el terreno listo y le fueron entregados los planos estructurales, el lunes 11 de noviembre 2019, pero aún no inicia con el replanteo, ya que el mismo está solicitando una actualización de precios antes de reiniciar los trabajos, aún espera respuesta.</v>
      </c>
      <c r="K57" s="159" t="str">
        <f>'[3]Resumen Ángela Santana Sept 20'!K21</f>
        <v>18.5139730,-69.9894940.</v>
      </c>
      <c r="L57" s="159" t="str">
        <f>'[3]Resumen Ángela Santana Sept 20'!L21</f>
        <v>2N</v>
      </c>
      <c r="M57" s="19" t="str">
        <f>'[3]Resumen Ángela Santana Sept 20'!M21</f>
        <v>Yunior Cifres Sánchez</v>
      </c>
      <c r="N57" s="140" t="str">
        <f>'[3]Resumen Ángela Santana Sept 20'!N21</f>
        <v>(829)689-1301</v>
      </c>
      <c r="O57" s="140" t="str">
        <f>'[3]Resumen Ángela Santana Sept 20'!O21</f>
        <v>j.cifres1975@gmail.com</v>
      </c>
      <c r="P57" s="140" t="str">
        <f>'[3]Resumen Ángela Santana Sept 20'!P21</f>
        <v>2DO</v>
      </c>
      <c r="Q57" s="152">
        <f>'[3]Resumen Ángela Santana Sept 20'!Q21</f>
        <v>0.1</v>
      </c>
    </row>
    <row r="58" spans="1:17" s="7" customFormat="1" ht="94.5" x14ac:dyDescent="0.25">
      <c r="A58" s="190">
        <f t="shared" si="0"/>
        <v>47</v>
      </c>
      <c r="B58" s="137" t="s">
        <v>603</v>
      </c>
      <c r="C58" s="137" t="s">
        <v>197</v>
      </c>
      <c r="D58" s="139" t="s">
        <v>197</v>
      </c>
      <c r="E58" s="139" t="s">
        <v>198</v>
      </c>
      <c r="F58" s="140" t="s">
        <v>221</v>
      </c>
      <c r="G58" s="140" t="s">
        <v>220</v>
      </c>
      <c r="H58" s="140" t="str">
        <f>'[3]Resumen Ángela Santana Sept 20'!H22</f>
        <v>Detenido pago cubicación</v>
      </c>
      <c r="I58" s="209">
        <f>'[3]Resumen Ángela Santana Sept 20'!I22</f>
        <v>0</v>
      </c>
      <c r="J58" s="253" t="str">
        <f>'[3]Resumen Ángela Santana Sept 20'!J22</f>
        <v>CAIPI detenido por cubicación. Antes detenerse el contratista se encontraba realizando movimiento de tierra (relleno y compactación), espera pago de cubicación.</v>
      </c>
      <c r="K58" s="159" t="str">
        <f>'[3]Resumen Ángela Santana Sept 20'!K22</f>
        <v>18.5223460,-69.9865880</v>
      </c>
      <c r="L58" s="159" t="str">
        <f>'[3]Resumen Ángela Santana Sept 20'!L22</f>
        <v>2N</v>
      </c>
      <c r="M58" s="19" t="str">
        <f>'[3]Resumen Ángela Santana Sept 20'!M22</f>
        <v>Fabio Wilfredo Martínez Castro</v>
      </c>
      <c r="N58" s="140" t="str">
        <f>'[3]Resumen Ángela Santana Sept 20'!N22</f>
        <v>(809)988-2270</v>
      </c>
      <c r="O58" s="140" t="str">
        <f>'[3]Resumen Ángela Santana Sept 20'!O22</f>
        <v>martinezaquino24@gmail.com</v>
      </c>
      <c r="P58" s="140" t="str">
        <f>'[3]Resumen Ángela Santana Sept 20'!P22</f>
        <v>2DO</v>
      </c>
      <c r="Q58" s="152">
        <f>'[3]Resumen Ángela Santana Sept 20'!Q22</f>
        <v>0.05</v>
      </c>
    </row>
    <row r="59" spans="1:17" s="7" customFormat="1" ht="63" x14ac:dyDescent="0.25">
      <c r="A59" s="190">
        <f t="shared" si="0"/>
        <v>48</v>
      </c>
      <c r="B59" s="137" t="s">
        <v>603</v>
      </c>
      <c r="C59" s="137" t="s">
        <v>197</v>
      </c>
      <c r="D59" s="139" t="s">
        <v>197</v>
      </c>
      <c r="E59" s="139" t="s">
        <v>198</v>
      </c>
      <c r="F59" s="140" t="s">
        <v>222</v>
      </c>
      <c r="G59" s="140" t="s">
        <v>223</v>
      </c>
      <c r="H59" s="140" t="str">
        <f>'[3]Resumen Ángela Santana Sept 20'!H23</f>
        <v>Detenido pago cubicación</v>
      </c>
      <c r="I59" s="209">
        <f>'[3]Resumen Ángela Santana Sept 20'!I23</f>
        <v>0</v>
      </c>
      <c r="J59" s="253" t="str">
        <f>'[3]Resumen Ángela Santana Sept 20'!J23</f>
        <v>CAIPI detenido por cubicación. Antes de detenerse trabajaba en colocación de block a nivel de dintel. Espera pago de cubicación.</v>
      </c>
      <c r="K59" s="159" t="str">
        <f>'[3]Resumen Ángela Santana Sept 20'!K23</f>
        <v>18.5063270,-69.9761660.</v>
      </c>
      <c r="L59" s="159">
        <f>'[3]Resumen Ángela Santana Sept 20'!L23</f>
        <v>0</v>
      </c>
      <c r="M59" s="19" t="str">
        <f>'[3]Resumen Ángela Santana Sept 20'!M23</f>
        <v>Const. ViMAENRO SRL/Víctor Encarnación</v>
      </c>
      <c r="N59" s="140" t="str">
        <f>'[3]Resumen Ángela Santana Sept 20'!N23</f>
        <v>(809)350-9784</v>
      </c>
      <c r="O59" s="140" t="str">
        <f>'[3]Resumen Ángela Santana Sept 20'!O23</f>
        <v>vencarnacion@vimaenro.com</v>
      </c>
      <c r="P59" s="140" t="str">
        <f>'[3]Resumen Ángela Santana Sept 20'!P23</f>
        <v>2DO</v>
      </c>
      <c r="Q59" s="152">
        <f>'[3]Resumen Ángela Santana Sept 20'!Q23</f>
        <v>0.15</v>
      </c>
    </row>
    <row r="60" spans="1:17" s="7" customFormat="1" ht="31.5" x14ac:dyDescent="0.25">
      <c r="A60" s="190">
        <f t="shared" si="0"/>
        <v>49</v>
      </c>
      <c r="B60" s="145" t="s">
        <v>732</v>
      </c>
      <c r="C60" s="137" t="s">
        <v>224</v>
      </c>
      <c r="D60" s="137" t="s">
        <v>225</v>
      </c>
      <c r="E60" s="137" t="s">
        <v>144</v>
      </c>
      <c r="F60" s="143" t="s">
        <v>226</v>
      </c>
      <c r="G60" s="143" t="s">
        <v>227</v>
      </c>
      <c r="H60" s="143" t="str">
        <f>'[4]Matriz Mensual Génesis Sept 20'!H10</f>
        <v>Inaugurado</v>
      </c>
      <c r="I60" s="213">
        <f>'[4]Matriz Mensual Génesis Sept 20'!I10</f>
        <v>0</v>
      </c>
      <c r="J60" s="251">
        <f>'[4]Matriz Mensual Génesis Sept 20'!J10</f>
        <v>0</v>
      </c>
      <c r="K60" s="193">
        <f>'[4]Matriz Mensual Génesis Sept 20'!K10</f>
        <v>0</v>
      </c>
      <c r="L60" s="143" t="str">
        <f>'[4]Matriz Mensual Génesis Sept 20'!L10</f>
        <v>1N</v>
      </c>
      <c r="M60" s="19" t="str">
        <f>'[4]Matriz Mensual Génesis Sept 20'!M10</f>
        <v>Edwin Rafael Contreras</v>
      </c>
      <c r="N60" s="143">
        <f>'[4]Matriz Mensual Génesis Sept 20'!N10</f>
        <v>0</v>
      </c>
      <c r="O60" s="143">
        <f>'[4]Matriz Mensual Génesis Sept 20'!O10</f>
        <v>0</v>
      </c>
      <c r="P60" s="143" t="str">
        <f>'[4]Matriz Mensual Génesis Sept 20'!P10</f>
        <v>1ER</v>
      </c>
      <c r="Q60" s="149">
        <f>'[4]Matriz Mensual Génesis Sept 20'!Q10</f>
        <v>1</v>
      </c>
    </row>
    <row r="61" spans="1:17" s="7" customFormat="1" ht="252" x14ac:dyDescent="0.25">
      <c r="A61" s="190">
        <f t="shared" si="0"/>
        <v>50</v>
      </c>
      <c r="B61" s="145" t="s">
        <v>732</v>
      </c>
      <c r="C61" s="137" t="s">
        <v>224</v>
      </c>
      <c r="D61" s="139" t="s">
        <v>225</v>
      </c>
      <c r="E61" s="139" t="s">
        <v>144</v>
      </c>
      <c r="F61" s="140" t="s">
        <v>228</v>
      </c>
      <c r="G61" s="140" t="s">
        <v>229</v>
      </c>
      <c r="H61" s="140" t="str">
        <f>'[4]Matriz Mensual Génesis Sept 20'!H11</f>
        <v>Detenido pago cubicación</v>
      </c>
      <c r="I61" s="209">
        <f>'[4]Matriz Mensual Génesis Sept 20'!I11</f>
        <v>0</v>
      </c>
      <c r="J61" s="253" t="str">
        <f>'[4]Matriz Mensual Génesis Sept 20'!J11</f>
        <v>CAIPI detenido por cubicación. Se encuentra con avance de todas las losas de techo del 2do. nivel vaciada, inicio colocación de arrastre de tuberías eléctricas y sanitarias del primer nivel para vaciar chapapote, Además tiene vaciado el techo de la caseta de la cisterna, la verja perimetral terminada, excepto del área frontal. La supervisión tiene conocimiento de la última modificación de planos de la cocina requerida por el INAIPI. Espera pago cubicación desde principio de junio 2020.</v>
      </c>
      <c r="K61" s="158" t="str">
        <f>'[4]Matriz Mensual Génesis Sept 20'!K11</f>
        <v>18.461432, -69.606982</v>
      </c>
      <c r="L61" s="140" t="str">
        <f>'[4]Matriz Mensual Génesis Sept 20'!L11</f>
        <v>2N</v>
      </c>
      <c r="M61" s="315" t="str">
        <f>'[4]Matriz Mensual Génesis Sept 20'!M11</f>
        <v>Humberto A. Castillo T./Luz Claribel Bautista</v>
      </c>
      <c r="N61" s="140" t="str">
        <f>'[4]Matriz Mensual Génesis Sept 20'!N11</f>
        <v>(849)816-0410</v>
      </c>
      <c r="O61" s="140" t="str">
        <f>'[4]Matriz Mensual Génesis Sept 20'!O11</f>
        <v>lclaribel2004@yahoo.com</v>
      </c>
      <c r="P61" s="140" t="str">
        <f>'[4]Matriz Mensual Génesis Sept 20'!P11</f>
        <v>2DO</v>
      </c>
      <c r="Q61" s="152">
        <f>'[4]Matriz Mensual Génesis Sept 20'!Q11</f>
        <v>0.52</v>
      </c>
    </row>
    <row r="62" spans="1:17" s="7" customFormat="1" ht="31.5" x14ac:dyDescent="0.25">
      <c r="A62" s="190">
        <f t="shared" si="0"/>
        <v>51</v>
      </c>
      <c r="B62" s="145" t="s">
        <v>732</v>
      </c>
      <c r="C62" s="137" t="s">
        <v>224</v>
      </c>
      <c r="D62" s="139" t="s">
        <v>225</v>
      </c>
      <c r="E62" s="139" t="s">
        <v>144</v>
      </c>
      <c r="F62" s="140" t="s">
        <v>230</v>
      </c>
      <c r="G62" s="140" t="s">
        <v>231</v>
      </c>
      <c r="H62" s="140" t="str">
        <f>'[4]Matriz Mensual Génesis Sept 20'!H12</f>
        <v>Sin Iniciar</v>
      </c>
      <c r="I62" s="140" t="str">
        <f>'[4]Matriz Mensual Génesis Sept 20'!I12</f>
        <v xml:space="preserve">Con Propuesta </v>
      </c>
      <c r="J62" s="253">
        <f>'[4]Matriz Mensual Génesis Sept 20'!J12</f>
        <v>0</v>
      </c>
      <c r="K62" s="196">
        <f>'[4]Matriz Mensual Génesis Sept 20'!K12</f>
        <v>0</v>
      </c>
      <c r="L62" s="140">
        <f>'[4]Matriz Mensual Génesis Sept 20'!L12</f>
        <v>0</v>
      </c>
      <c r="M62" s="140" t="str">
        <f>'[4]Matriz Mensual Génesis Sept 20'!M12</f>
        <v>Luis Manuel Polanco Batista</v>
      </c>
      <c r="N62" s="140" t="str">
        <f>'[4]Matriz Mensual Génesis Sept 20'!N12</f>
        <v>(809)981-6395</v>
      </c>
      <c r="O62" s="140" t="str">
        <f>'[4]Matriz Mensual Génesis Sept 20'!O12</f>
        <v>luispolanco96@hotmail.com</v>
      </c>
      <c r="P62" s="140" t="str">
        <f>'[4]Matriz Mensual Génesis Sept 20'!P12</f>
        <v>2DO</v>
      </c>
      <c r="Q62" s="152">
        <f>'[4]Matriz Mensual Génesis Sept 20'!Q12</f>
        <v>0</v>
      </c>
    </row>
    <row r="63" spans="1:17" s="7" customFormat="1" ht="204.75" x14ac:dyDescent="0.25">
      <c r="A63" s="190">
        <f t="shared" si="0"/>
        <v>52</v>
      </c>
      <c r="B63" s="145" t="s">
        <v>732</v>
      </c>
      <c r="C63" s="137" t="s">
        <v>224</v>
      </c>
      <c r="D63" s="139" t="s">
        <v>225</v>
      </c>
      <c r="E63" s="139" t="s">
        <v>144</v>
      </c>
      <c r="F63" s="140" t="s">
        <v>232</v>
      </c>
      <c r="G63" s="140" t="s">
        <v>233</v>
      </c>
      <c r="H63" s="140" t="str">
        <f>'[4]Matriz Mensual Génesis Sept 20'!H13</f>
        <v>Detenido pago cubicación</v>
      </c>
      <c r="I63" s="209">
        <f>'[4]Matriz Mensual Génesis Sept 20'!I13</f>
        <v>0</v>
      </c>
      <c r="J63" s="253" t="str">
        <f>'[4]Matriz Mensual Génesis Sept 20'!J13</f>
        <v xml:space="preserve">CAIPI detenido por cubicación. Están a la espera del pago de las cubicaciones pendientes, la cula  se encuentra en el departamento de financiero del MINERD. Tiene otra en circuito que se pagará por la linea de credito vigente. Se encuentra Antes de detenerse trabajó en acondicionamiento del areas exterior. Tiene la modificación de la cocina de acuerdo con los requerimientos del INAIPI. </v>
      </c>
      <c r="K63" s="158" t="str">
        <f>'[4]Matriz Mensual Génesis Sept 20'!K13</f>
        <v>18.468031, -69.698168</v>
      </c>
      <c r="L63" s="140" t="str">
        <f>'[4]Matriz Mensual Génesis Sept 20'!L13</f>
        <v>2N</v>
      </c>
      <c r="M63" s="315" t="str">
        <f>'[4]Matriz Mensual Génesis Sept 20'!M13</f>
        <v>Judith Cruz Garcia</v>
      </c>
      <c r="N63" s="140" t="str">
        <f>'[4]Matriz Mensual Génesis Sept 20'!N13</f>
        <v>(809)756-1912</v>
      </c>
      <c r="O63" s="140" t="str">
        <f>'[4]Matriz Mensual Génesis Sept 20'!O13</f>
        <v>judithcruz21@hotmail.com</v>
      </c>
      <c r="P63" s="140" t="str">
        <f>'[4]Matriz Mensual Génesis Sept 20'!P13</f>
        <v>2DO</v>
      </c>
      <c r="Q63" s="152">
        <f>'[4]Matriz Mensual Génesis Sept 20'!Q13</f>
        <v>0.62</v>
      </c>
    </row>
    <row r="64" spans="1:17" s="7" customFormat="1" ht="315" x14ac:dyDescent="0.25">
      <c r="A64" s="190">
        <f t="shared" si="0"/>
        <v>53</v>
      </c>
      <c r="B64" s="145" t="s">
        <v>732</v>
      </c>
      <c r="C64" s="137" t="s">
        <v>224</v>
      </c>
      <c r="D64" s="139" t="s">
        <v>225</v>
      </c>
      <c r="E64" s="139" t="s">
        <v>144</v>
      </c>
      <c r="F64" s="140" t="s">
        <v>234</v>
      </c>
      <c r="G64" s="140" t="s">
        <v>235</v>
      </c>
      <c r="H64" s="140" t="str">
        <f>'[4]Matriz Mensual Génesis Sept 20'!H14</f>
        <v>Detenido</v>
      </c>
      <c r="I64" s="209">
        <f>'[4]Matriz Mensual Génesis Sept 20'!I14</f>
        <v>0</v>
      </c>
      <c r="J64" s="253" t="str">
        <f>'[4]Matriz Mensual Génesis Sept 20'!J14</f>
        <v>CAIPI detenido. Contratista sin dinero y sin cubicación pendiente. La supervisión del MOPC para trabajar, tiene previsto reunión con la coordinación de la supervisión nos informó que esta contratista está en estado con saldo negativo. Está en fase final de terminación, solo falta algunos detalles de retoques de pinturas final, colocación de algunos aparatos sanitarios que tiene en sito, colocación del tanque de gas, transformador eléctrico y la terminación de las modificaciones de la cocina, según lo requerimiento del INAIPI. Se colocó puerta en altura para mantenimiento a la azotea.</v>
      </c>
      <c r="K64" s="158" t="str">
        <f>'[4]Matriz Mensual Génesis Sept 20'!K14</f>
        <v>18.451404, -69.675114</v>
      </c>
      <c r="L64" s="140" t="str">
        <f>'[4]Matriz Mensual Génesis Sept 20'!L14</f>
        <v>2N</v>
      </c>
      <c r="M64" s="315" t="str">
        <f>'[4]Matriz Mensual Génesis Sept 20'!M14</f>
        <v>Carolina Garcia Garcia</v>
      </c>
      <c r="N64" s="140" t="str">
        <f>'[4]Matriz Mensual Génesis Sept 20'!N14</f>
        <v>(809)657-9845</v>
      </c>
      <c r="O64" s="140" t="str">
        <f>'[4]Matriz Mensual Génesis Sept 20'!O14</f>
        <v>garciacarolina14@gmail.com</v>
      </c>
      <c r="P64" s="140" t="str">
        <f>'[4]Matriz Mensual Génesis Sept 20'!P14</f>
        <v>2DO</v>
      </c>
      <c r="Q64" s="152">
        <f>'[4]Matriz Mensual Génesis Sept 20'!Q14</f>
        <v>0.94</v>
      </c>
    </row>
    <row r="65" spans="1:17" s="7" customFormat="1" ht="47.25" x14ac:dyDescent="0.25">
      <c r="A65" s="190">
        <f t="shared" si="0"/>
        <v>54</v>
      </c>
      <c r="B65" s="145" t="s">
        <v>732</v>
      </c>
      <c r="C65" s="137" t="s">
        <v>224</v>
      </c>
      <c r="D65" s="139" t="s">
        <v>225</v>
      </c>
      <c r="E65" s="139" t="s">
        <v>144</v>
      </c>
      <c r="F65" s="218" t="s">
        <v>236</v>
      </c>
      <c r="G65" s="140" t="s">
        <v>237</v>
      </c>
      <c r="H65" s="140" t="str">
        <f>'[4]Matriz Mensual Génesis Sept 20'!H15</f>
        <v>Inaugurado</v>
      </c>
      <c r="I65" s="209">
        <f>'[4]Matriz Mensual Génesis Sept 20'!I15</f>
        <v>0</v>
      </c>
      <c r="J65" s="253" t="str">
        <f>'[4]Matriz Mensual Génesis Sept 20'!J15</f>
        <v>Inaugurado el dia 3 de julio 2019</v>
      </c>
      <c r="K65" s="158" t="str">
        <f>'[4]Matriz Mensual Génesis Sept 20'!K15</f>
        <v>18.453369,-69.641528</v>
      </c>
      <c r="L65" s="140" t="str">
        <f>'[4]Matriz Mensual Génesis Sept 20'!L15</f>
        <v>1N</v>
      </c>
      <c r="M65" s="315" t="str">
        <f>'[4]Matriz Mensual Génesis Sept 20'!M15</f>
        <v>Cristina Francisca Feliz Cuevas</v>
      </c>
      <c r="N65" s="140" t="str">
        <f>'[4]Matriz Mensual Génesis Sept 20'!N15</f>
        <v>(829)281-9660</v>
      </c>
      <c r="O65" s="140" t="str">
        <f>'[4]Matriz Mensual Génesis Sept 20'!O15</f>
        <v>ing_0930@hotmail.com</v>
      </c>
      <c r="P65" s="140" t="str">
        <f>'[4]Matriz Mensual Génesis Sept 20'!P15</f>
        <v>2DO</v>
      </c>
      <c r="Q65" s="152">
        <f>'[4]Matriz Mensual Génesis Sept 20'!Q15</f>
        <v>1</v>
      </c>
    </row>
    <row r="66" spans="1:17" s="7" customFormat="1" ht="47.25" x14ac:dyDescent="0.25">
      <c r="A66" s="190">
        <f t="shared" si="0"/>
        <v>55</v>
      </c>
      <c r="B66" s="145" t="s">
        <v>732</v>
      </c>
      <c r="C66" s="318" t="s">
        <v>224</v>
      </c>
      <c r="D66" s="290" t="s">
        <v>225</v>
      </c>
      <c r="E66" s="290" t="s">
        <v>198</v>
      </c>
      <c r="F66" s="291" t="s">
        <v>620</v>
      </c>
      <c r="G66" s="291" t="s">
        <v>634</v>
      </c>
      <c r="H66" s="140" t="str">
        <f>'[4]Matriz Mensual Génesis Sept 20'!H16</f>
        <v>Sin Iniciar</v>
      </c>
      <c r="I66" s="209" t="str">
        <f>'[4]Matriz Mensual Génesis Sept 20'!I16</f>
        <v xml:space="preserve">Con Propuesta de Donación </v>
      </c>
      <c r="J66" s="253">
        <f>'[4]Matriz Mensual Génesis Sept 20'!J16</f>
        <v>0</v>
      </c>
      <c r="K66" s="159">
        <f>'[4]Matriz Mensual Génesis Sept 20'!K16</f>
        <v>0</v>
      </c>
      <c r="L66" s="159">
        <f>'[4]Matriz Mensual Génesis Sept 20'!L16</f>
        <v>0</v>
      </c>
      <c r="M66" s="140" t="str">
        <f>'[4]Matriz Mensual Génesis Sept 20'!M16</f>
        <v>Cristóbal Portorreal</v>
      </c>
      <c r="N66" s="140" t="str">
        <f>'[4]Matriz Mensual Génesis Sept 20'!N16</f>
        <v>(829)418-8106</v>
      </c>
      <c r="O66" s="140" t="str">
        <f>'[4]Matriz Mensual Génesis Sept 20'!O16</f>
        <v>cristopher_3abc4@hotmail.com</v>
      </c>
      <c r="P66" s="140" t="str">
        <f>'[4]Matriz Mensual Génesis Sept 20'!P16</f>
        <v>2DO</v>
      </c>
      <c r="Q66" s="152">
        <f>'[4]Matriz Mensual Génesis Sept 20'!Q16</f>
        <v>0</v>
      </c>
    </row>
    <row r="67" spans="1:17" s="7" customFormat="1" ht="31.5" x14ac:dyDescent="0.25">
      <c r="A67" s="190">
        <f t="shared" si="0"/>
        <v>56</v>
      </c>
      <c r="B67" s="145" t="s">
        <v>732</v>
      </c>
      <c r="C67" s="137" t="s">
        <v>224</v>
      </c>
      <c r="D67" s="139" t="s">
        <v>238</v>
      </c>
      <c r="E67" s="139" t="s">
        <v>198</v>
      </c>
      <c r="F67" s="218" t="s">
        <v>540</v>
      </c>
      <c r="G67" s="140" t="s">
        <v>239</v>
      </c>
      <c r="H67" s="140" t="str">
        <f>'[4]Matriz Mensual Génesis Sept 20'!H17</f>
        <v>Inaugurado</v>
      </c>
      <c r="I67" s="209">
        <f>'[4]Matriz Mensual Génesis Sept 20'!I17</f>
        <v>0</v>
      </c>
      <c r="J67" s="253" t="str">
        <f>'[4]Matriz Mensual Génesis Sept 20'!J17</f>
        <v>CAIPI inaugurado el 27 julio 2020.</v>
      </c>
      <c r="K67" s="159" t="str">
        <f>'[4]Matriz Mensual Génesis Sept 20'!K17</f>
        <v>18.472955, -69.790158</v>
      </c>
      <c r="L67" s="140" t="str">
        <f>'[4]Matriz Mensual Génesis Sept 20'!L17</f>
        <v>1N</v>
      </c>
      <c r="M67" s="315" t="str">
        <f>'[4]Matriz Mensual Génesis Sept 20'!M17</f>
        <v>Zenen Javier Mora</v>
      </c>
      <c r="N67" s="140" t="str">
        <f>'[4]Matriz Mensual Génesis Sept 20'!N17</f>
        <v>809-417-1560</v>
      </c>
      <c r="O67" s="140" t="str">
        <f>'[4]Matriz Mensual Génesis Sept 20'!O17</f>
        <v>javielmora23@hotmail.com</v>
      </c>
      <c r="P67" s="140" t="str">
        <f>'[4]Matriz Mensual Génesis Sept 20'!P17</f>
        <v>1ER</v>
      </c>
      <c r="Q67" s="152">
        <f>'[4]Matriz Mensual Génesis Sept 20'!Q17</f>
        <v>1</v>
      </c>
    </row>
    <row r="68" spans="1:17" s="7" customFormat="1" ht="39.75" customHeight="1" x14ac:dyDescent="0.25">
      <c r="A68" s="190">
        <f t="shared" si="0"/>
        <v>57</v>
      </c>
      <c r="B68" s="145" t="s">
        <v>732</v>
      </c>
      <c r="C68" s="137" t="s">
        <v>224</v>
      </c>
      <c r="D68" s="139" t="s">
        <v>238</v>
      </c>
      <c r="E68" s="139" t="s">
        <v>198</v>
      </c>
      <c r="F68" s="140" t="s">
        <v>240</v>
      </c>
      <c r="G68" s="140" t="s">
        <v>240</v>
      </c>
      <c r="H68" s="140" t="str">
        <f>'[4]Matriz Mensual Génesis Sept 20'!H18</f>
        <v>Inaugurado</v>
      </c>
      <c r="I68" s="209">
        <f>'[4]Matriz Mensual Génesis Sept 20'!I18</f>
        <v>0</v>
      </c>
      <c r="J68" s="253">
        <f>'[4]Matriz Mensual Génesis Sept 20'!J18</f>
        <v>0</v>
      </c>
      <c r="K68" s="159" t="str">
        <f>'[4]Matriz Mensual Génesis Sept 20'!K18</f>
        <v>18.472000, -69.857794</v>
      </c>
      <c r="L68" s="140">
        <f>'[4]Matriz Mensual Génesis Sept 20'!L18</f>
        <v>0</v>
      </c>
      <c r="M68" s="19" t="str">
        <f>'[4]Matriz Mensual Génesis Sept 20'!M18</f>
        <v>Yanyris Domínguez Montás</v>
      </c>
      <c r="N68" s="139" t="str">
        <f>'[4]Matriz Mensual Génesis Sept 20'!N18</f>
        <v>(829)662-4488</v>
      </c>
      <c r="O68" s="140">
        <f>'[4]Matriz Mensual Génesis Sept 20'!O18</f>
        <v>0</v>
      </c>
      <c r="P68" s="140" t="str">
        <f>'[4]Matriz Mensual Génesis Sept 20'!P18</f>
        <v>1ER</v>
      </c>
      <c r="Q68" s="152">
        <f>'[4]Matriz Mensual Génesis Sept 20'!Q18</f>
        <v>1</v>
      </c>
    </row>
    <row r="69" spans="1:17" s="7" customFormat="1" ht="220.5" x14ac:dyDescent="0.25">
      <c r="A69" s="190">
        <f t="shared" si="0"/>
        <v>58</v>
      </c>
      <c r="B69" s="145" t="s">
        <v>732</v>
      </c>
      <c r="C69" s="137" t="s">
        <v>224</v>
      </c>
      <c r="D69" s="139" t="s">
        <v>238</v>
      </c>
      <c r="E69" s="139" t="s">
        <v>198</v>
      </c>
      <c r="F69" s="139" t="s">
        <v>241</v>
      </c>
      <c r="G69" s="139" t="s">
        <v>241</v>
      </c>
      <c r="H69" s="139" t="str">
        <f>'[4]Matriz Mensual Génesis Sept 20'!H19</f>
        <v>Detenido</v>
      </c>
      <c r="I69" s="209">
        <f>'[4]Matriz Mensual Génesis Sept 20'!I19</f>
        <v>0</v>
      </c>
      <c r="J69" s="253" t="str">
        <f>'[4]Matriz Mensual Génesis Sept 20'!J19</f>
        <v>CAIPI detenido. El contratista recibió pago durante la pandemia y la autorización de muro AB Wall (Suelo Reforzado), sin embargo, debido a la diferencia de preció solicitó al MOPC una revisión de dicho muro, la cual espera repuesta. A la fecha solo ha realizado el pozo de agua y movimiento de tierra. Tiene planos del CAIPI. Tiene programado reiniciar los trabajos a principio de octubre 2020.</v>
      </c>
      <c r="K69" s="159" t="str">
        <f>'[4]Matriz Mensual Génesis Sept 20'!K19</f>
        <v>18.476534, -69.872851</v>
      </c>
      <c r="L69" s="139" t="str">
        <f>'[4]Matriz Mensual Génesis Sept 20'!L19</f>
        <v>1N</v>
      </c>
      <c r="M69" s="315" t="str">
        <f>'[4]Matriz Mensual Génesis Sept 20'!M19</f>
        <v>Delvinson Julian Mosquea Jorge</v>
      </c>
      <c r="N69" s="139" t="str">
        <f>'[4]Matriz Mensual Génesis Sept 20'!N19</f>
        <v>(809)443-3887</v>
      </c>
      <c r="O69" s="139" t="str">
        <f>'[4]Matriz Mensual Génesis Sept 20'!O19</f>
        <v>delvinson2007@gmail.com</v>
      </c>
      <c r="P69" s="139" t="str">
        <f>'[4]Matriz Mensual Génesis Sept 20'!P19</f>
        <v>2DO</v>
      </c>
      <c r="Q69" s="152">
        <f>'[4]Matriz Mensual Génesis Sept 20'!Q19</f>
        <v>0.06</v>
      </c>
    </row>
    <row r="70" spans="1:17" s="7" customFormat="1" ht="126" x14ac:dyDescent="0.25">
      <c r="A70" s="190">
        <f t="shared" si="0"/>
        <v>59</v>
      </c>
      <c r="B70" s="145" t="s">
        <v>732</v>
      </c>
      <c r="C70" s="137" t="s">
        <v>224</v>
      </c>
      <c r="D70" s="139" t="s">
        <v>238</v>
      </c>
      <c r="E70" s="139" t="s">
        <v>198</v>
      </c>
      <c r="F70" s="217" t="s">
        <v>627</v>
      </c>
      <c r="G70" s="156" t="s">
        <v>575</v>
      </c>
      <c r="H70" s="139" t="str">
        <f>'[4]Matriz Mensual Génesis Sept 20'!H20</f>
        <v>Detenido pago cubicación</v>
      </c>
      <c r="I70" s="209">
        <f>'[4]Matriz Mensual Génesis Sept 20'!I20</f>
        <v>0</v>
      </c>
      <c r="J70" s="253" t="str">
        <f>'[4]Matriz Mensual Génesis Sept 20'!J20</f>
        <v>CAIPI detenido por pago de cubicación. El pago de la cubicación se encuentra en el departamento financiero del MINERD. Se Realizó el proceso de movimiento de tierra, relleno y compactación, Espera pago de cubicación desde febrero 2020.</v>
      </c>
      <c r="K70" s="159" t="str">
        <f>'[4]Matriz Mensual Génesis Sept 20'!K20</f>
        <v>18.478408, -69.843590</v>
      </c>
      <c r="L70" s="139" t="str">
        <f>'[4]Matriz Mensual Génesis Sept 20'!L20</f>
        <v>2N</v>
      </c>
      <c r="M70" s="315" t="str">
        <f>'[4]Matriz Mensual Génesis Sept 20'!M20</f>
        <v>Judith Emilia Labata del Pozo</v>
      </c>
      <c r="N70" s="140" t="str">
        <f>'[4]Matriz Mensual Génesis Sept 20'!N20</f>
        <v>809-850-1400</v>
      </c>
      <c r="O70" s="139" t="str">
        <f>'[4]Matriz Mensual Génesis Sept 20'!O20</f>
        <v>inglabata22@gmail.com</v>
      </c>
      <c r="P70" s="139" t="str">
        <f>'[4]Matriz Mensual Génesis Sept 20'!P20</f>
        <v>2DO</v>
      </c>
      <c r="Q70" s="152">
        <f>'[4]Matriz Mensual Génesis Sept 20'!Q20</f>
        <v>0.06</v>
      </c>
    </row>
    <row r="71" spans="1:17" s="7" customFormat="1" ht="47.25" x14ac:dyDescent="0.25">
      <c r="A71" s="190">
        <f t="shared" si="0"/>
        <v>60</v>
      </c>
      <c r="B71" s="145" t="s">
        <v>732</v>
      </c>
      <c r="C71" s="137" t="s">
        <v>224</v>
      </c>
      <c r="D71" s="139" t="s">
        <v>238</v>
      </c>
      <c r="E71" s="139" t="s">
        <v>198</v>
      </c>
      <c r="F71" s="140" t="s">
        <v>242</v>
      </c>
      <c r="G71" s="140" t="s">
        <v>243</v>
      </c>
      <c r="H71" s="140" t="str">
        <f>'[4]Matriz Mensual Génesis Sept 20'!H21</f>
        <v>Inaugurado</v>
      </c>
      <c r="I71" s="209">
        <f>'[4]Matriz Mensual Génesis Sept 20'!I21</f>
        <v>0</v>
      </c>
      <c r="J71" s="258">
        <f>'[4]Matriz Mensual Génesis Sept 20'!J21</f>
        <v>0</v>
      </c>
      <c r="K71" s="159">
        <f>'[4]Matriz Mensual Génesis Sept 20'!K21</f>
        <v>0</v>
      </c>
      <c r="L71" s="140" t="str">
        <f>'[4]Matriz Mensual Génesis Sept 20'!L21</f>
        <v>1N</v>
      </c>
      <c r="M71" s="315" t="str">
        <f>'[4]Matriz Mensual Génesis Sept 20'!M21</f>
        <v>Pedro Bienvenido Sosa Hernández</v>
      </c>
      <c r="N71" s="140">
        <f>'[4]Matriz Mensual Génesis Sept 20'!N21</f>
        <v>0</v>
      </c>
      <c r="O71" s="139" t="str">
        <f>'[4]Matriz Mensual Génesis Sept 20'!O21</f>
        <v>celeon24@gmail.com</v>
      </c>
      <c r="P71" s="140" t="str">
        <f>'[4]Matriz Mensual Génesis Sept 20'!P21</f>
        <v>1ER</v>
      </c>
      <c r="Q71" s="152">
        <f>'[4]Matriz Mensual Génesis Sept 20'!Q21</f>
        <v>1</v>
      </c>
    </row>
    <row r="72" spans="1:17" s="7" customFormat="1" ht="378" x14ac:dyDescent="0.25">
      <c r="A72" s="190">
        <f t="shared" si="0"/>
        <v>61</v>
      </c>
      <c r="B72" s="145" t="s">
        <v>732</v>
      </c>
      <c r="C72" s="137" t="s">
        <v>224</v>
      </c>
      <c r="D72" s="139" t="s">
        <v>238</v>
      </c>
      <c r="E72" s="139" t="s">
        <v>198</v>
      </c>
      <c r="F72" s="139" t="s">
        <v>244</v>
      </c>
      <c r="G72" s="139" t="s">
        <v>245</v>
      </c>
      <c r="H72" s="139" t="str">
        <f>'[4]Matriz Mensual Génesis Sept 20'!H22</f>
        <v>Detenido</v>
      </c>
      <c r="I72" s="209">
        <f>'[4]Matriz Mensual Génesis Sept 20'!I22</f>
        <v>0</v>
      </c>
      <c r="J72" s="249" t="str">
        <f>'[4]Matriz Mensual Génesis Sept 20'!J22</f>
        <v xml:space="preserve">CAIPI detenido desde julio 2019. La OISOE le trazó un cronograma de actividades y le autorizó línea de crédito, la cual no hizo el proceso de papeleo para su renovación. La contratista está apática a asumir su compromiso de terminar el CAIPI, se le ha emplazado varias veces por su bajos rendimiento y por su falta interés en realizar los trabajos. La OISOE notificó a la contratista a través del MINERD para rescindir el contrato. Lo último ejecutado fue el vaciado la casona, viga del multiuso y pasarela, pañete en los módulos de lactante, 2 a 3, 1 a 2 y cocina. Está pendiente visita conjunta (OISOE-INAIPI-DIGEPEP-MINERD) para las modificaciones de la cocina, acordado en reunión con la Dirección de OISOE. </v>
      </c>
      <c r="K72" s="159" t="str">
        <f>'[4]Matriz Mensual Génesis Sept 20'!K22</f>
        <v>18.493687, -69.750482</v>
      </c>
      <c r="L72" s="139" t="str">
        <f>'[4]Matriz Mensual Génesis Sept 20'!L22</f>
        <v>1N</v>
      </c>
      <c r="M72" s="315" t="str">
        <f>'[4]Matriz Mensual Génesis Sept 20'!M22</f>
        <v>Daysis Bienvenida Santos Cabrera</v>
      </c>
      <c r="N72" s="140" t="str">
        <f>'[4]Matriz Mensual Génesis Sept 20'!N22</f>
        <v>(849)860-2472</v>
      </c>
      <c r="O72" s="139" t="str">
        <f>'[4]Matriz Mensual Génesis Sept 20'!O22</f>
        <v>daysis-santos@hotmail.com</v>
      </c>
      <c r="P72" s="139" t="str">
        <f>'[4]Matriz Mensual Génesis Sept 20'!P22</f>
        <v>1ER</v>
      </c>
      <c r="Q72" s="152">
        <f>'[4]Matriz Mensual Génesis Sept 20'!Q22</f>
        <v>0.54</v>
      </c>
    </row>
    <row r="73" spans="1:17" s="7" customFormat="1" ht="94.5" x14ac:dyDescent="0.25">
      <c r="A73" s="190">
        <f t="shared" si="0"/>
        <v>62</v>
      </c>
      <c r="B73" s="145" t="s">
        <v>732</v>
      </c>
      <c r="C73" s="137" t="s">
        <v>224</v>
      </c>
      <c r="D73" s="139" t="s">
        <v>238</v>
      </c>
      <c r="E73" s="139" t="s">
        <v>198</v>
      </c>
      <c r="F73" s="139" t="s">
        <v>246</v>
      </c>
      <c r="G73" s="139" t="s">
        <v>247</v>
      </c>
      <c r="H73" s="139" t="str">
        <f>'[4]Matriz Mensual Génesis Sept 20'!H23</f>
        <v>Inaugurado</v>
      </c>
      <c r="I73" s="209">
        <f>'[4]Matriz Mensual Génesis Sept 20'!I23</f>
        <v>0</v>
      </c>
      <c r="J73" s="249" t="str">
        <f>'[4]Matriz Mensual Génesis Sept 20'!J23</f>
        <v>CAIPI inagurado el 7 de noviembre 2019 .  La supervisión está pendiente realizar el hueco del extractor de la cocina y contenes, aceras y pavimentación de la calle frontal.</v>
      </c>
      <c r="K73" s="159" t="str">
        <f>'[4]Matriz Mensual Génesis Sept 20'!K23</f>
        <v>18.507116, -69.746212</v>
      </c>
      <c r="L73" s="139" t="str">
        <f>'[4]Matriz Mensual Génesis Sept 20'!L23</f>
        <v>1N</v>
      </c>
      <c r="M73" s="315" t="str">
        <f>'[4]Matriz Mensual Génesis Sept 20'!M23</f>
        <v>Cía. de León y Asoc., SRL /C. E. de León</v>
      </c>
      <c r="N73" s="140">
        <f>'[4]Matriz Mensual Génesis Sept 20'!N23</f>
        <v>0</v>
      </c>
      <c r="O73" s="140" t="str">
        <f>'[4]Matriz Mensual Génesis Sept 20'!O23</f>
        <v>marthadesanchez@gmail.com</v>
      </c>
      <c r="P73" s="139" t="str">
        <f>'[4]Matriz Mensual Génesis Sept 20'!P23</f>
        <v>1ER</v>
      </c>
      <c r="Q73" s="152">
        <f>'[4]Matriz Mensual Génesis Sept 20'!Q23</f>
        <v>1</v>
      </c>
    </row>
    <row r="74" spans="1:17" s="7" customFormat="1" ht="110.25" x14ac:dyDescent="0.25">
      <c r="A74" s="190">
        <f t="shared" si="0"/>
        <v>63</v>
      </c>
      <c r="B74" s="145" t="s">
        <v>732</v>
      </c>
      <c r="C74" s="137" t="s">
        <v>224</v>
      </c>
      <c r="D74" s="139" t="s">
        <v>238</v>
      </c>
      <c r="E74" s="139" t="s">
        <v>198</v>
      </c>
      <c r="F74" s="139" t="s">
        <v>248</v>
      </c>
      <c r="G74" s="139" t="s">
        <v>249</v>
      </c>
      <c r="H74" s="139" t="str">
        <f>'[4]Matriz Mensual Génesis Sept 20'!H24</f>
        <v>Detenido pago cubicación</v>
      </c>
      <c r="I74" s="209">
        <f>'[4]Matriz Mensual Génesis Sept 20'!I24</f>
        <v>0</v>
      </c>
      <c r="J74" s="253" t="str">
        <f>'[4]Matriz Mensual Génesis Sept 20'!J24</f>
        <v>CAIPI detenido por cubicación. Antes detenerse realizó el vaciado de zapata del edificio, vació piso de la cisterna de 8000gls. Tiene pendiente de pago 2 cubicaciones una de ella desde febrero 2020.</v>
      </c>
      <c r="K74" s="159" t="str">
        <f>'[4]Matriz Mensual Génesis Sept 20'!K24</f>
        <v>18.491478,-69.875372</v>
      </c>
      <c r="L74" s="139" t="str">
        <f>'[4]Matriz Mensual Génesis Sept 20'!L24</f>
        <v>2N</v>
      </c>
      <c r="M74" s="315" t="str">
        <f>'[4]Matriz Mensual Génesis Sept 20'!M24</f>
        <v>Banesa Howley de Oleo</v>
      </c>
      <c r="N74" s="140" t="str">
        <f>'[4]Matriz Mensual Génesis Sept 20'!N24</f>
        <v>(809)330-8592</v>
      </c>
      <c r="O74" s="140" t="str">
        <f>'[4]Matriz Mensual Génesis Sept 20'!O24</f>
        <v>arq.banesahowley@hotmail.com</v>
      </c>
      <c r="P74" s="139" t="str">
        <f>'[4]Matriz Mensual Génesis Sept 20'!P24</f>
        <v>2DO</v>
      </c>
      <c r="Q74" s="152">
        <f>'[4]Matriz Mensual Génesis Sept 20'!Q24</f>
        <v>0.15</v>
      </c>
    </row>
    <row r="75" spans="1:17" s="7" customFormat="1" ht="126" x14ac:dyDescent="0.25">
      <c r="A75" s="190">
        <f t="shared" si="0"/>
        <v>64</v>
      </c>
      <c r="B75" s="145" t="s">
        <v>732</v>
      </c>
      <c r="C75" s="137" t="s">
        <v>224</v>
      </c>
      <c r="D75" s="139" t="s">
        <v>238</v>
      </c>
      <c r="E75" s="139" t="s">
        <v>198</v>
      </c>
      <c r="F75" s="139" t="s">
        <v>250</v>
      </c>
      <c r="G75" s="139" t="s">
        <v>251</v>
      </c>
      <c r="H75" s="139" t="str">
        <f>'[4]Matriz Mensual Génesis Sept 20'!H25</f>
        <v>En Construcción</v>
      </c>
      <c r="I75" s="209">
        <f>'[4]Matriz Mensual Génesis Sept 20'!I25</f>
        <v>0</v>
      </c>
      <c r="J75" s="253" t="str">
        <f>'[4]Matriz Mensual Génesis Sept 20'!J25</f>
        <v xml:space="preserve">CAIPI en construcción.  Continua con el interior del primero y segundo nivel, está realizando fino de techo. Además, está colocando piso en el primer nivel la cual está en un 80%. Así como la colocación las tuberías de desagüe en el área de la cocina. </v>
      </c>
      <c r="K75" s="159" t="str">
        <f>'[4]Matriz Mensual Génesis Sept 20'!K25</f>
        <v>18.497185, -69.856260</v>
      </c>
      <c r="L75" s="139" t="str">
        <f>'[4]Matriz Mensual Génesis Sept 20'!L25</f>
        <v>2N</v>
      </c>
      <c r="M75" s="315" t="str">
        <f>'[4]Matriz Mensual Génesis Sept 20'!M25</f>
        <v>Matha Beatriz Acosta del Rosario</v>
      </c>
      <c r="N75" s="140">
        <f>'[4]Matriz Mensual Génesis Sept 20'!N25</f>
        <v>0</v>
      </c>
      <c r="O75" s="140">
        <f>'[4]Matriz Mensual Génesis Sept 20'!O25</f>
        <v>0</v>
      </c>
      <c r="P75" s="139" t="str">
        <f>'[4]Matriz Mensual Génesis Sept 20'!P25</f>
        <v>2DO</v>
      </c>
      <c r="Q75" s="152">
        <f>'[4]Matriz Mensual Génesis Sept 20'!Q25</f>
        <v>0.6</v>
      </c>
    </row>
    <row r="76" spans="1:17" s="7" customFormat="1" ht="157.5" x14ac:dyDescent="0.25">
      <c r="A76" s="190">
        <f t="shared" si="0"/>
        <v>65</v>
      </c>
      <c r="B76" s="145" t="s">
        <v>732</v>
      </c>
      <c r="C76" s="137" t="s">
        <v>224</v>
      </c>
      <c r="D76" s="139" t="s">
        <v>238</v>
      </c>
      <c r="E76" s="139" t="s">
        <v>198</v>
      </c>
      <c r="F76" s="139" t="s">
        <v>252</v>
      </c>
      <c r="G76" s="139" t="s">
        <v>253</v>
      </c>
      <c r="H76" s="139" t="str">
        <f>'[4]Matriz Mensual Génesis Sept 20'!H26</f>
        <v>Detenido</v>
      </c>
      <c r="I76" s="209">
        <f>'[4]Matriz Mensual Génesis Sept 20'!I26</f>
        <v>0</v>
      </c>
      <c r="J76" s="253" t="str">
        <f>'[4]Matriz Mensual Génesis Sept 20'!J26</f>
        <v>CAIPI detenido. Antes de esta emergencia sanitaria (por Coronavirus) se encontraba después de 3 años en espera de planos, reinició los trabajos con la excavación de la verja perimetral sin embargo no tiene mucho interés por que dice que los precios no cudran.  espera del pago de una cubicacion</v>
      </c>
      <c r="K76" s="159" t="str">
        <f>'[4]Matriz Mensual Génesis Sept 20'!K26</f>
        <v>18.502302, -69.814532</v>
      </c>
      <c r="L76" s="139" t="str">
        <f>'[4]Matriz Mensual Génesis Sept 20'!L26</f>
        <v>1N</v>
      </c>
      <c r="M76" s="315" t="str">
        <f>'[4]Matriz Mensual Génesis Sept 20'!M26</f>
        <v>EDCONSA SRL/Reynaldo Jover</v>
      </c>
      <c r="N76" s="140" t="str">
        <f>'[4]Matriz Mensual Génesis Sept 20'!N26</f>
        <v>(829)340-9379</v>
      </c>
      <c r="O76" s="140" t="str">
        <f>'[4]Matriz Mensual Génesis Sept 20'!O26</f>
        <v>joel@edconsa.com</v>
      </c>
      <c r="P76" s="139" t="str">
        <f>'[4]Matriz Mensual Génesis Sept 20'!P26</f>
        <v>2DO</v>
      </c>
      <c r="Q76" s="152">
        <f>'[4]Matriz Mensual Génesis Sept 20'!Q26</f>
        <v>0.06</v>
      </c>
    </row>
    <row r="77" spans="1:17" s="7" customFormat="1" ht="204.75" x14ac:dyDescent="0.25">
      <c r="A77" s="190">
        <f t="shared" si="0"/>
        <v>66</v>
      </c>
      <c r="B77" s="145" t="s">
        <v>732</v>
      </c>
      <c r="C77" s="137" t="s">
        <v>224</v>
      </c>
      <c r="D77" s="139" t="s">
        <v>238</v>
      </c>
      <c r="E77" s="139" t="s">
        <v>198</v>
      </c>
      <c r="F77" s="140" t="s">
        <v>254</v>
      </c>
      <c r="G77" s="140" t="s">
        <v>255</v>
      </c>
      <c r="H77" s="140" t="str">
        <f>'[4]Matriz Mensual Génesis Sept 20'!H27</f>
        <v>Detenido pago cubicación</v>
      </c>
      <c r="I77" s="209">
        <f>'[4]Matriz Mensual Génesis Sept 20'!I27</f>
        <v>0</v>
      </c>
      <c r="J77" s="253" t="str">
        <f>'[4]Matriz Mensual Génesis Sept 20'!J27</f>
        <v xml:space="preserve">CAIPI detenido por cubicación. Antes de detenerse se encontraba realizando trabajos colocando pisos faltantes en la pasarela entre los módulos 2-3 y lactante, realizó los arrastres sanitarios, eléctricos y pinturas finales en un 85%, tiene parte importa del relleno del patio posterior. tiene pendiente cubicación desde febrero 2020. Se espera la modificación en la cocina requerida por el INAIPI. </v>
      </c>
      <c r="K77" s="159" t="str">
        <f>'[4]Matriz Mensual Génesis Sept 20'!K27</f>
        <v>18.508012, -69.873256</v>
      </c>
      <c r="L77" s="140" t="str">
        <f>'[4]Matriz Mensual Génesis Sept 20'!L27</f>
        <v>1N</v>
      </c>
      <c r="M77" s="315" t="str">
        <f>'[4]Matriz Mensual Génesis Sept 20'!M27</f>
        <v>Cecilia Evelin Estrella González</v>
      </c>
      <c r="N77" s="140" t="str">
        <f>'[4]Matriz Mensual Génesis Sept 20'!N27</f>
        <v>(829)372-6881</v>
      </c>
      <c r="O77" s="140" t="str">
        <f>'[4]Matriz Mensual Génesis Sept 20'!O27</f>
        <v>evelinestrella@hotmail.com</v>
      </c>
      <c r="P77" s="140" t="str">
        <f>'[4]Matriz Mensual Génesis Sept 20'!P27</f>
        <v>1ER</v>
      </c>
      <c r="Q77" s="152">
        <f>'[4]Matriz Mensual Génesis Sept 20'!Q27</f>
        <v>0.83</v>
      </c>
    </row>
    <row r="78" spans="1:17" s="7" customFormat="1" ht="31.5" x14ac:dyDescent="0.25">
      <c r="A78" s="190">
        <f t="shared" ref="A78:A141" si="1">+A77+1</f>
        <v>67</v>
      </c>
      <c r="B78" s="145" t="s">
        <v>732</v>
      </c>
      <c r="C78" s="137" t="s">
        <v>224</v>
      </c>
      <c r="D78" s="139" t="s">
        <v>238</v>
      </c>
      <c r="E78" s="139" t="s">
        <v>198</v>
      </c>
      <c r="F78" s="139" t="s">
        <v>256</v>
      </c>
      <c r="G78" s="139" t="s">
        <v>257</v>
      </c>
      <c r="H78" s="139" t="str">
        <f>'[4]Matriz Mensual Génesis Sept 20'!H28</f>
        <v>Inaugurado</v>
      </c>
      <c r="I78" s="209">
        <f>'[4]Matriz Mensual Génesis Sept 20'!I28</f>
        <v>0</v>
      </c>
      <c r="J78" s="253" t="str">
        <f>'[4]Matriz Mensual Génesis Sept 20'!J28</f>
        <v>CAIPI inaugurado el 27 julio 2020,</v>
      </c>
      <c r="K78" s="159" t="str">
        <f>'[4]Matriz Mensual Génesis Sept 20'!K28</f>
        <v>18.510085, -69.859510</v>
      </c>
      <c r="L78" s="139" t="str">
        <f>'[4]Matriz Mensual Génesis Sept 20'!L28</f>
        <v>2N</v>
      </c>
      <c r="M78" s="315" t="str">
        <f>'[4]Matriz Mensual Génesis Sept 20'!M28</f>
        <v>Felix Alexander Herrera Mora</v>
      </c>
      <c r="N78" s="139" t="str">
        <f>'[4]Matriz Mensual Génesis Sept 20'!N28</f>
        <v>(809)603-8909</v>
      </c>
      <c r="O78" s="139" t="str">
        <f>'[4]Matriz Mensual Génesis Sept 20'!O28</f>
        <v>felixherrera09@hotmail.com</v>
      </c>
      <c r="P78" s="139" t="str">
        <f>'[4]Matriz Mensual Génesis Sept 20'!P28</f>
        <v>2DO</v>
      </c>
      <c r="Q78" s="152">
        <f>'[4]Matriz Mensual Génesis Sept 20'!Q28</f>
        <v>1</v>
      </c>
    </row>
    <row r="79" spans="1:17" s="7" customFormat="1" ht="126" x14ac:dyDescent="0.25">
      <c r="A79" s="190">
        <f t="shared" si="1"/>
        <v>68</v>
      </c>
      <c r="B79" s="145" t="s">
        <v>732</v>
      </c>
      <c r="C79" s="137" t="s">
        <v>224</v>
      </c>
      <c r="D79" s="139" t="s">
        <v>238</v>
      </c>
      <c r="E79" s="139" t="s">
        <v>198</v>
      </c>
      <c r="F79" s="139" t="s">
        <v>258</v>
      </c>
      <c r="G79" s="139" t="s">
        <v>255</v>
      </c>
      <c r="H79" s="139" t="str">
        <f>'[4]Matriz Mensual Génesis Sept 20'!H29</f>
        <v>Detenido por planos</v>
      </c>
      <c r="I79" s="209">
        <f>'[4]Matriz Mensual Génesis Sept 20'!I29</f>
        <v>0</v>
      </c>
      <c r="J79" s="253" t="str">
        <f>'[4]Matriz Mensual Génesis Sept 20'!J29</f>
        <v>CAIPI detenido por planos. Entregó el sondeo al MOPC a mediado de mayo 2019. El lunes 27 de enero 2020 se realizó el levantamiento para el diseño hidráulico. Se espera que diseño concluya la solución hidráulica y rediseño del CAIPI y la escuela.</v>
      </c>
      <c r="K79" s="159" t="str">
        <f>'[4]Matriz Mensual Génesis Sept 20'!K29</f>
        <v>18.518065, -69.857823</v>
      </c>
      <c r="L79" s="139" t="str">
        <f>'[4]Matriz Mensual Génesis Sept 20'!L29</f>
        <v>2N</v>
      </c>
      <c r="M79" s="315" t="str">
        <f>'[4]Matriz Mensual Génesis Sept 20'!M29</f>
        <v>Yoanna Matos Hernandez</v>
      </c>
      <c r="N79" s="139" t="str">
        <f>'[4]Matriz Mensual Génesis Sept 20'!N29</f>
        <v>(809)299-4146</v>
      </c>
      <c r="O79" s="139" t="str">
        <f>'[4]Matriz Mensual Génesis Sept 20'!O29</f>
        <v>yoannamatos01@gmail.com</v>
      </c>
      <c r="P79" s="139" t="str">
        <f>'[4]Matriz Mensual Génesis Sept 20'!P29</f>
        <v>2DO</v>
      </c>
      <c r="Q79" s="152">
        <f>'[4]Matriz Mensual Génesis Sept 20'!Q29</f>
        <v>0</v>
      </c>
    </row>
    <row r="80" spans="1:17" s="7" customFormat="1" ht="31.5" x14ac:dyDescent="0.25">
      <c r="A80" s="190">
        <f t="shared" si="1"/>
        <v>69</v>
      </c>
      <c r="B80" s="145" t="s">
        <v>732</v>
      </c>
      <c r="C80" s="137" t="s">
        <v>224</v>
      </c>
      <c r="D80" s="139" t="s">
        <v>238</v>
      </c>
      <c r="E80" s="139" t="s">
        <v>198</v>
      </c>
      <c r="F80" s="140" t="s">
        <v>259</v>
      </c>
      <c r="G80" s="140" t="s">
        <v>260</v>
      </c>
      <c r="H80" s="140" t="str">
        <f>'[4]Matriz Mensual Génesis Sept 20'!H30</f>
        <v>Inaugurado</v>
      </c>
      <c r="I80" s="209">
        <f>'[4]Matriz Mensual Génesis Sept 20'!I30</f>
        <v>0</v>
      </c>
      <c r="J80" s="253">
        <f>'[4]Matriz Mensual Génesis Sept 20'!J30</f>
        <v>0</v>
      </c>
      <c r="K80" s="159" t="str">
        <f>'[4]Matriz Mensual Génesis Sept 20'!K30</f>
        <v>18.515916, -69.879927</v>
      </c>
      <c r="L80" s="140" t="str">
        <f>'[4]Matriz Mensual Génesis Sept 20'!L30</f>
        <v>1N</v>
      </c>
      <c r="M80" s="19" t="str">
        <f>'[4]Matriz Mensual Génesis Sept 20'!M30</f>
        <v>Antonio Alexis Méndez Herasme</v>
      </c>
      <c r="N80" s="140">
        <f>'[4]Matriz Mensual Génesis Sept 20'!N30</f>
        <v>0</v>
      </c>
      <c r="O80" s="140">
        <f>'[4]Matriz Mensual Génesis Sept 20'!O30</f>
        <v>0</v>
      </c>
      <c r="P80" s="140" t="str">
        <f>'[4]Matriz Mensual Génesis Sept 20'!P30</f>
        <v>1ER</v>
      </c>
      <c r="Q80" s="152">
        <f>'[4]Matriz Mensual Génesis Sept 20'!Q30</f>
        <v>1</v>
      </c>
    </row>
    <row r="81" spans="1:18" s="7" customFormat="1" ht="173.25" x14ac:dyDescent="0.25">
      <c r="A81" s="190">
        <f t="shared" si="1"/>
        <v>70</v>
      </c>
      <c r="B81" s="145" t="s">
        <v>732</v>
      </c>
      <c r="C81" s="137" t="s">
        <v>224</v>
      </c>
      <c r="D81" s="139" t="s">
        <v>238</v>
      </c>
      <c r="E81" s="139" t="s">
        <v>198</v>
      </c>
      <c r="F81" s="139" t="s">
        <v>261</v>
      </c>
      <c r="G81" s="139" t="s">
        <v>262</v>
      </c>
      <c r="H81" s="139" t="str">
        <f>'[4]Matriz Mensual Génesis Sept 20'!H31</f>
        <v>Sin Iniciar</v>
      </c>
      <c r="I81" s="186" t="str">
        <f>'[4]Matriz Mensual Génesis Sept 20'!I31</f>
        <v xml:space="preserve">Sin Propuesta </v>
      </c>
      <c r="J81" s="249" t="str">
        <f>'[4]Matriz Mensual Génesis Sept 20'!J31</f>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
      <c r="K81" s="139" t="str">
        <f>'[4]Matriz Mensual Génesis Sept 20'!K31</f>
        <v>18.517436, -69.890352</v>
      </c>
      <c r="L81" s="139" t="str">
        <f>'[4]Matriz Mensual Génesis Sept 20'!L31</f>
        <v>2N</v>
      </c>
      <c r="M81" s="315" t="str">
        <f>'[4]Matriz Mensual Génesis Sept 20'!M31</f>
        <v>Julian Javier Molina Pilarte</v>
      </c>
      <c r="N81" s="139" t="str">
        <f>'[4]Matriz Mensual Génesis Sept 20'!N31</f>
        <v>(829)599-4496</v>
      </c>
      <c r="O81" s="139" t="str">
        <f>'[4]Matriz Mensual Génesis Sept 20'!O31</f>
        <v>jmolina@ucsd.edu.do</v>
      </c>
      <c r="P81" s="139" t="str">
        <f>'[4]Matriz Mensual Génesis Sept 20'!P31</f>
        <v>2DO</v>
      </c>
      <c r="Q81" s="152">
        <f>'[4]Matriz Mensual Génesis Sept 20'!Q31</f>
        <v>0</v>
      </c>
    </row>
    <row r="82" spans="1:18" s="7" customFormat="1" ht="173.25" x14ac:dyDescent="0.25">
      <c r="A82" s="190">
        <f t="shared" si="1"/>
        <v>71</v>
      </c>
      <c r="B82" s="145" t="s">
        <v>732</v>
      </c>
      <c r="C82" s="137" t="s">
        <v>224</v>
      </c>
      <c r="D82" s="139" t="s">
        <v>238</v>
      </c>
      <c r="E82" s="139" t="s">
        <v>198</v>
      </c>
      <c r="F82" s="139" t="s">
        <v>263</v>
      </c>
      <c r="G82" s="139" t="s">
        <v>264</v>
      </c>
      <c r="H82" s="139" t="str">
        <f>'[4]Matriz Mensual Génesis Sept 20'!H32</f>
        <v>Sin Iniciar</v>
      </c>
      <c r="I82" s="209" t="str">
        <f>'[4]Matriz Mensual Génesis Sept 20'!I32</f>
        <v xml:space="preserve">Sin Propuesta </v>
      </c>
      <c r="J82" s="253" t="str">
        <f>'[4]Matriz Mensual Génesis Sept 20'!J32</f>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
      <c r="K82" s="159" t="str">
        <f>'[4]Matriz Mensual Génesis Sept 20'!K32</f>
        <v>18.517436, -69.890352</v>
      </c>
      <c r="L82" s="139" t="str">
        <f>'[4]Matriz Mensual Génesis Sept 20'!L32</f>
        <v>2N</v>
      </c>
      <c r="M82" s="315" t="str">
        <f>'[4]Matriz Mensual Génesis Sept 20'!M32</f>
        <v>Wilson Miguel Burgos Mercado</v>
      </c>
      <c r="N82" s="139" t="str">
        <f>'[4]Matriz Mensual Génesis Sept 20'!N32</f>
        <v>(809)693-3811</v>
      </c>
      <c r="O82" s="139" t="str">
        <f>'[4]Matriz Mensual Génesis Sept 20'!O32</f>
        <v>wilsonburgos01@hotmail.com</v>
      </c>
      <c r="P82" s="139" t="str">
        <f>'[4]Matriz Mensual Génesis Sept 20'!P32</f>
        <v>2DO</v>
      </c>
      <c r="Q82" s="152">
        <f>'[4]Matriz Mensual Génesis Sept 20'!Q32</f>
        <v>0</v>
      </c>
    </row>
    <row r="83" spans="1:18" s="7" customFormat="1" ht="126" x14ac:dyDescent="0.25">
      <c r="A83" s="190">
        <f t="shared" si="1"/>
        <v>72</v>
      </c>
      <c r="B83" s="145" t="s">
        <v>732</v>
      </c>
      <c r="C83" s="137" t="s">
        <v>224</v>
      </c>
      <c r="D83" s="139" t="s">
        <v>238</v>
      </c>
      <c r="E83" s="139" t="s">
        <v>198</v>
      </c>
      <c r="F83" s="217" t="s">
        <v>564</v>
      </c>
      <c r="G83" s="217" t="s">
        <v>635</v>
      </c>
      <c r="H83" s="139" t="str">
        <f>'[4]Matriz Mensual Génesis Sept 20'!H33</f>
        <v>Detenido pago terreno</v>
      </c>
      <c r="I83" s="139">
        <f>'[4]Matriz Mensual Génesis Sept 20'!I33</f>
        <v>0</v>
      </c>
      <c r="J83" s="249" t="str">
        <f>'[4]Matriz Mensual Génesis Sept 20'!J33</f>
        <v>CAIPI detenido por pago del terreno. Entregó sondeos al MOPC en la semana del 8 de octubre 2018. Espera elaboración planos de fundación y pago del terreno luego que fue reintroducido la compra de este solar.</v>
      </c>
      <c r="K83" s="139" t="str">
        <f>'[4]Matriz Mensual Génesis Sept 20'!K33</f>
        <v>18.47964179, -69.8087374</v>
      </c>
      <c r="L83" s="139" t="str">
        <f>'[4]Matriz Mensual Génesis Sept 20'!L33</f>
        <v>2N</v>
      </c>
      <c r="M83" s="22" t="str">
        <f>'[4]Matriz Mensual Génesis Sept 20'!M33</f>
        <v>Rafael Leonardo Medrano Medina</v>
      </c>
      <c r="N83" s="139" t="str">
        <f>'[4]Matriz Mensual Génesis Sept 20'!N33</f>
        <v>(829)299-3904</v>
      </c>
      <c r="O83" s="139" t="str">
        <f>'[4]Matriz Mensual Génesis Sept 20'!O33</f>
        <v>numerico2011@hotmail.com</v>
      </c>
      <c r="P83" s="139" t="str">
        <f>'[4]Matriz Mensual Génesis Sept 20'!P33</f>
        <v>2DO</v>
      </c>
      <c r="Q83" s="152">
        <f>'[4]Matriz Mensual Génesis Sept 20'!Q33</f>
        <v>0</v>
      </c>
    </row>
    <row r="84" spans="1:18" s="7" customFormat="1" ht="110.25" x14ac:dyDescent="0.25">
      <c r="A84" s="190">
        <f t="shared" si="1"/>
        <v>73</v>
      </c>
      <c r="B84" s="145" t="s">
        <v>732</v>
      </c>
      <c r="C84" s="137" t="s">
        <v>224</v>
      </c>
      <c r="D84" s="219" t="s">
        <v>577</v>
      </c>
      <c r="E84" s="137" t="s">
        <v>198</v>
      </c>
      <c r="F84" s="293" t="s">
        <v>579</v>
      </c>
      <c r="G84" s="219" t="s">
        <v>578</v>
      </c>
      <c r="H84" s="153" t="str">
        <f>'[4]Matriz Mensual Génesis Sept 20'!H34</f>
        <v>Detenido</v>
      </c>
      <c r="I84" s="153">
        <f>'[4]Matriz Mensual Génesis Sept 20'!I34</f>
        <v>0</v>
      </c>
      <c r="J84" s="251" t="str">
        <f>'[4]Matriz Mensual Génesis Sept 20'!J34</f>
        <v>CAIPI detenido. Este contratista fue posesionado el 16 de julio 2019, se realizó el levantamiento topográfico y se entregó al MOPC. Se colocó la valla. Está a la espera del avance para iniciar los trabajos.</v>
      </c>
      <c r="K84" s="235" t="str">
        <f>'[4]Matriz Mensual Génesis Sept 20'!K34</f>
        <v>18.525384, -69.7648880</v>
      </c>
      <c r="L84" s="193" t="str">
        <f>'[4]Matriz Mensual Génesis Sept 20'!L34</f>
        <v>1N</v>
      </c>
      <c r="M84" s="21" t="str">
        <f>'[4]Matriz Mensual Génesis Sept 20'!M34</f>
        <v>Constructora DNW SRL/Franklin del Rio Rojas</v>
      </c>
      <c r="N84" s="143" t="str">
        <f>'[4]Matriz Mensual Génesis Sept 20'!N34</f>
        <v>(809)501-9512</v>
      </c>
      <c r="O84" s="143" t="str">
        <f>'[4]Matriz Mensual Génesis Sept 20'!O34</f>
        <v>fdelrio@pimpina.com.do</v>
      </c>
      <c r="P84" s="137" t="str">
        <f>'[4]Matriz Mensual Génesis Sept 20'!P34</f>
        <v>2DO</v>
      </c>
      <c r="Q84" s="149">
        <f>'[4]Matriz Mensual Génesis Sept 20'!Q34</f>
        <v>0</v>
      </c>
    </row>
    <row r="85" spans="1:18" s="7" customFormat="1" ht="31.5" x14ac:dyDescent="0.25">
      <c r="A85" s="190">
        <f t="shared" si="1"/>
        <v>74</v>
      </c>
      <c r="B85" s="145" t="s">
        <v>732</v>
      </c>
      <c r="C85" s="137" t="s">
        <v>224</v>
      </c>
      <c r="D85" s="139" t="s">
        <v>238</v>
      </c>
      <c r="E85" s="139" t="s">
        <v>198</v>
      </c>
      <c r="F85" s="140" t="s">
        <v>265</v>
      </c>
      <c r="G85" s="140" t="s">
        <v>266</v>
      </c>
      <c r="H85" s="140" t="str">
        <f>'[4]Matriz Mensual Génesis Sept 20'!H35</f>
        <v>Inaugurado</v>
      </c>
      <c r="I85" s="209">
        <f>'[4]Matriz Mensual Génesis Sept 20'!I35</f>
        <v>0</v>
      </c>
      <c r="J85" s="253">
        <f>'[4]Matriz Mensual Génesis Sept 20'!J35</f>
        <v>0</v>
      </c>
      <c r="K85" s="159" t="str">
        <f>'[4]Matriz Mensual Génesis Sept 20'!K35</f>
        <v>18.523695,-69.815829</v>
      </c>
      <c r="L85" s="140" t="str">
        <f>'[4]Matriz Mensual Génesis Sept 20'!L35</f>
        <v>1N</v>
      </c>
      <c r="M85" s="24" t="str">
        <f>'[4]Matriz Mensual Génesis Sept 20'!M35</f>
        <v>Gustavo Enríque Castillo Dimayo</v>
      </c>
      <c r="N85" s="140">
        <f>'[4]Matriz Mensual Génesis Sept 20'!N35</f>
        <v>0</v>
      </c>
      <c r="O85" s="140">
        <f>'[4]Matriz Mensual Génesis Sept 20'!O35</f>
        <v>0</v>
      </c>
      <c r="P85" s="140" t="str">
        <f>'[4]Matriz Mensual Génesis Sept 20'!P35</f>
        <v>1ER</v>
      </c>
      <c r="Q85" s="152">
        <f>'[4]Matriz Mensual Génesis Sept 20'!Q35</f>
        <v>1</v>
      </c>
    </row>
    <row r="86" spans="1:18" s="7" customFormat="1" ht="224.25" customHeight="1" x14ac:dyDescent="0.25">
      <c r="A86" s="190">
        <f t="shared" si="1"/>
        <v>75</v>
      </c>
      <c r="B86" s="145" t="s">
        <v>732</v>
      </c>
      <c r="C86" s="137" t="s">
        <v>224</v>
      </c>
      <c r="D86" s="139" t="s">
        <v>238</v>
      </c>
      <c r="E86" s="139" t="s">
        <v>198</v>
      </c>
      <c r="F86" s="140" t="s">
        <v>267</v>
      </c>
      <c r="G86" s="140" t="s">
        <v>268</v>
      </c>
      <c r="H86" s="140" t="str">
        <f>'[4]Matriz Mensual Génesis Sept 20'!H36</f>
        <v>Detenido</v>
      </c>
      <c r="I86" s="209">
        <f>'[4]Matriz Mensual Génesis Sept 20'!I36</f>
        <v>0</v>
      </c>
      <c r="J86" s="253" t="str">
        <f>'[4]Matriz Mensual Génesis Sept 20'!J36</f>
        <v>CAIPI detenido.  Finalizó con los trabajos de alto relieve. Antes de paralizarse trabajaba en la colocación de pisos, escalones y cerámica en el primer nivel y segundo nivel, revestimiento en paredes en el área de la cocina. A pesar de haber recibido un pago de cubicación en el mes de junio 2020 los trabajos lo realiza avance muy mínimo</v>
      </c>
      <c r="K86" s="159" t="str">
        <f>'[4]Matriz Mensual Génesis Sept 20'!K36</f>
        <v>18.507450,-69.807843</v>
      </c>
      <c r="L86" s="140" t="str">
        <f>'[4]Matriz Mensual Génesis Sept 20'!L36</f>
        <v>2N</v>
      </c>
      <c r="M86" s="316" t="str">
        <f>'[4]Matriz Mensual Génesis Sept 20'!M36</f>
        <v>Mart Const. SRL/Braulio de J. Martinez T.</v>
      </c>
      <c r="N86" s="140" t="str">
        <f>'[4]Matriz Mensual Génesis Sept 20'!N36</f>
        <v>(809)974-0855</v>
      </c>
      <c r="O86" s="140" t="str">
        <f>'[4]Matriz Mensual Génesis Sept 20'!O36</f>
        <v>ingbrauliomartinez@gmail.com</v>
      </c>
      <c r="P86" s="140" t="str">
        <f>'[4]Matriz Mensual Génesis Sept 20'!P36</f>
        <v>2DO</v>
      </c>
      <c r="Q86" s="152">
        <f>'[4]Matriz Mensual Génesis Sept 20'!Q36</f>
        <v>0.71</v>
      </c>
    </row>
    <row r="87" spans="1:18" s="7" customFormat="1" ht="236.25" x14ac:dyDescent="0.25">
      <c r="A87" s="190">
        <f t="shared" si="1"/>
        <v>76</v>
      </c>
      <c r="B87" s="145" t="s">
        <v>732</v>
      </c>
      <c r="C87" s="137" t="s">
        <v>224</v>
      </c>
      <c r="D87" s="139" t="s">
        <v>238</v>
      </c>
      <c r="E87" s="139" t="s">
        <v>198</v>
      </c>
      <c r="F87" s="218" t="s">
        <v>269</v>
      </c>
      <c r="G87" s="218" t="s">
        <v>566</v>
      </c>
      <c r="H87" s="140" t="str">
        <f>'[4]Matriz Mensual Génesis Sept 20'!H37</f>
        <v>Detenido pago cubicación</v>
      </c>
      <c r="I87" s="209">
        <f>'[4]Matriz Mensual Génesis Sept 20'!I37</f>
        <v>0</v>
      </c>
      <c r="J87" s="253" t="str">
        <f>'[4]Matriz Mensual Génesis Sept 20'!J37</f>
        <v xml:space="preserve">CAIPI detenida por cubicación.  Despues de finalizar  el vaciado de la casona se  detuvo por falta de dinero, Realizó el vaciado de hormigón de la losa, dinteles y vigas de amarre del modulo casona. Todos los demas módulo estan a nivel de viga. Tiene caseta de cisterna a nivel de viga, colocó verja provisional de zinc hasta que sean aprobados los muros de verja sometidos al MINERD. La supervisión tiene conocimiento de las modificaciones de la cocina. </v>
      </c>
      <c r="K87" s="159" t="str">
        <f>'[4]Matriz Mensual Génesis Sept 20'!K37</f>
        <v>18.536980, -69.817217</v>
      </c>
      <c r="L87" s="140" t="str">
        <f>'[4]Matriz Mensual Génesis Sept 20'!L37</f>
        <v>1N</v>
      </c>
      <c r="M87" s="315" t="str">
        <f>'[4]Matriz Mensual Génesis Sept 20'!M37</f>
        <v>Maria del Rosario Santana Diaz</v>
      </c>
      <c r="N87" s="140" t="str">
        <f>'[4]Matriz Mensual Génesis Sept 20'!N37</f>
        <v>(829)904-0785</v>
      </c>
      <c r="O87" s="140" t="str">
        <f>'[4]Matriz Mensual Génesis Sept 20'!O37</f>
        <v>meriyeni2009@hotmail.com</v>
      </c>
      <c r="P87" s="140" t="str">
        <f>'[4]Matriz Mensual Génesis Sept 20'!P37</f>
        <v>2DO</v>
      </c>
      <c r="Q87" s="152">
        <f>'[4]Matriz Mensual Génesis Sept 20'!Q37</f>
        <v>0.27</v>
      </c>
    </row>
    <row r="88" spans="1:18" s="7" customFormat="1" ht="31.5" x14ac:dyDescent="0.25">
      <c r="A88" s="190">
        <f t="shared" si="1"/>
        <v>77</v>
      </c>
      <c r="B88" s="145" t="s">
        <v>732</v>
      </c>
      <c r="C88" s="137" t="s">
        <v>224</v>
      </c>
      <c r="D88" s="139" t="s">
        <v>238</v>
      </c>
      <c r="E88" s="139" t="s">
        <v>198</v>
      </c>
      <c r="F88" s="140" t="s">
        <v>270</v>
      </c>
      <c r="G88" s="140" t="s">
        <v>271</v>
      </c>
      <c r="H88" s="140" t="str">
        <f>'[4]Matriz Mensual Génesis Sept 20'!H38</f>
        <v>Inaugurado</v>
      </c>
      <c r="I88" s="209">
        <f>'[4]Matriz Mensual Génesis Sept 20'!I38</f>
        <v>0</v>
      </c>
      <c r="J88" s="253" t="str">
        <f>'[4]Matriz Mensual Génesis Sept 20'!J38</f>
        <v>Inaugurado</v>
      </c>
      <c r="K88" s="159" t="str">
        <f>'[4]Matriz Mensual Génesis Sept 20'!K38</f>
        <v>18.512704,-69.813000</v>
      </c>
      <c r="L88" s="140" t="str">
        <f>'[4]Matriz Mensual Génesis Sept 20'!L38</f>
        <v>1N</v>
      </c>
      <c r="M88" s="315" t="str">
        <f>'[4]Matriz Mensual Génesis Sept 20'!M38</f>
        <v>Rafael Antonio Cifres Sanchez/Junior Cifres</v>
      </c>
      <c r="N88" s="140" t="str">
        <f>'[4]Matriz Mensual Génesis Sept 20'!N38</f>
        <v>(829)689-1301</v>
      </c>
      <c r="O88" s="140" t="str">
        <f>'[4]Matriz Mensual Génesis Sept 20'!O38</f>
        <v>cifres4@hotmail.com</v>
      </c>
      <c r="P88" s="140" t="str">
        <f>'[4]Matriz Mensual Génesis Sept 20'!P38</f>
        <v>2DO</v>
      </c>
      <c r="Q88" s="152">
        <f>'[4]Matriz Mensual Génesis Sept 20'!Q38</f>
        <v>1</v>
      </c>
    </row>
    <row r="89" spans="1:18" s="7" customFormat="1" ht="157.5" x14ac:dyDescent="0.25">
      <c r="A89" s="190">
        <f t="shared" si="1"/>
        <v>78</v>
      </c>
      <c r="B89" s="145" t="s">
        <v>732</v>
      </c>
      <c r="C89" s="137" t="s">
        <v>224</v>
      </c>
      <c r="D89" s="139" t="s">
        <v>238</v>
      </c>
      <c r="E89" s="139" t="s">
        <v>198</v>
      </c>
      <c r="F89" s="140" t="s">
        <v>272</v>
      </c>
      <c r="G89" s="140" t="s">
        <v>273</v>
      </c>
      <c r="H89" s="140" t="str">
        <f>'[4]Matriz Mensual Génesis Sept 20'!H39</f>
        <v>En Construcción</v>
      </c>
      <c r="I89" s="209">
        <f>'[4]Matriz Mensual Génesis Sept 20'!I39</f>
        <v>0</v>
      </c>
      <c r="J89" s="253" t="str">
        <f>'[4]Matriz Mensual Génesis Sept 20'!J39</f>
        <v>CAIPI en construcción. Continuación de los trabajos de pañete de techo y muros exteriores. colocación de pisos pintura base a un 80% en el segundo nivel.  Instalación de las verjas de hierro en el perímetro en la segunda planta.  Sometió el pago de la cubicación no. 9 al MOPC.</v>
      </c>
      <c r="K89" s="159" t="str">
        <f>'[4]Matriz Mensual Génesis Sept 20'!K39</f>
        <v>18.533742, -69.826769</v>
      </c>
      <c r="L89" s="140" t="str">
        <f>'[4]Matriz Mensual Génesis Sept 20'!L39</f>
        <v>2N</v>
      </c>
      <c r="M89" s="315" t="str">
        <f>'[4]Matriz Mensual Génesis Sept 20'!M39</f>
        <v>Jean Dave Sánchez Vizcaino</v>
      </c>
      <c r="N89" s="140" t="str">
        <f>'[4]Matriz Mensual Génesis Sept 20'!N39</f>
        <v>(809)984-9940</v>
      </c>
      <c r="O89" s="140" t="str">
        <f>'[4]Matriz Mensual Génesis Sept 20'!O39</f>
        <v>jeandave777@gmail.com</v>
      </c>
      <c r="P89" s="140" t="str">
        <f>'[4]Matriz Mensual Génesis Sept 20'!P39</f>
        <v>2DO</v>
      </c>
      <c r="Q89" s="152">
        <f>'[4]Matriz Mensual Génesis Sept 20'!Q39</f>
        <v>0.65</v>
      </c>
    </row>
    <row r="90" spans="1:18" s="7" customFormat="1" ht="31.5" x14ac:dyDescent="0.25">
      <c r="A90" s="190">
        <f t="shared" si="1"/>
        <v>79</v>
      </c>
      <c r="B90" s="145" t="s">
        <v>732</v>
      </c>
      <c r="C90" s="137" t="s">
        <v>224</v>
      </c>
      <c r="D90" s="139" t="s">
        <v>238</v>
      </c>
      <c r="E90" s="139" t="s">
        <v>198</v>
      </c>
      <c r="F90" s="140" t="s">
        <v>274</v>
      </c>
      <c r="G90" s="140" t="s">
        <v>275</v>
      </c>
      <c r="H90" s="140" t="str">
        <f>'[4]Matriz Mensual Génesis Sept 20'!H40</f>
        <v>Inaugurado</v>
      </c>
      <c r="I90" s="209">
        <f>'[4]Matriz Mensual Génesis Sept 20'!I40</f>
        <v>0</v>
      </c>
      <c r="J90" s="253" t="str">
        <f>'[4]Matriz Mensual Génesis Sept 20'!J40</f>
        <v>Inaugurado.</v>
      </c>
      <c r="K90" s="159" t="str">
        <f>'[4]Matriz Mensual Génesis Sept 20'!K40</f>
        <v>18.520373,-69.837515</v>
      </c>
      <c r="L90" s="140" t="str">
        <f>'[4]Matriz Mensual Génesis Sept 20'!L40</f>
        <v>2N</v>
      </c>
      <c r="M90" s="315" t="str">
        <f>'[4]Matriz Mensual Génesis Sept 20'!M40</f>
        <v>Felipe Abreu Rosario</v>
      </c>
      <c r="N90" s="140" t="str">
        <f>'[4]Matriz Mensual Génesis Sept 20'!N40</f>
        <v>(849)752-1016</v>
      </c>
      <c r="O90" s="140" t="str">
        <f>'[4]Matriz Mensual Génesis Sept 20'!O40</f>
        <v>abreurosario1@hotmail.com</v>
      </c>
      <c r="P90" s="140" t="str">
        <f>'[4]Matriz Mensual Génesis Sept 20'!P40</f>
        <v>2DO</v>
      </c>
      <c r="Q90" s="152">
        <f>'[4]Matriz Mensual Génesis Sept 20'!Q40</f>
        <v>1</v>
      </c>
    </row>
    <row r="91" spans="1:18" s="7" customFormat="1" ht="126" x14ac:dyDescent="0.25">
      <c r="A91" s="190">
        <f t="shared" si="1"/>
        <v>80</v>
      </c>
      <c r="B91" s="145" t="s">
        <v>732</v>
      </c>
      <c r="C91" s="137" t="s">
        <v>224</v>
      </c>
      <c r="D91" s="139" t="s">
        <v>238</v>
      </c>
      <c r="E91" s="139" t="s">
        <v>198</v>
      </c>
      <c r="F91" s="218" t="s">
        <v>637</v>
      </c>
      <c r="G91" s="218" t="s">
        <v>636</v>
      </c>
      <c r="H91" s="140" t="str">
        <f>'[4]Matriz Mensual Génesis Sept 20'!H41</f>
        <v>Detenido por planos</v>
      </c>
      <c r="I91" s="140">
        <f>'[4]Matriz Mensual Génesis Sept 20'!I41</f>
        <v>0</v>
      </c>
      <c r="J91" s="253" t="str">
        <f>'[4]Matriz Mensual Génesis Sept 20'!J41</f>
        <v>CAIPI detenido por plano. Está aún a la espera de la visita del Ing. Pichardo y el Ing. Persio Díaz para nuevo diseño debido a que se redujo la cantidad de terreno.  Realizó parte del movimiento de terreno y tiene pendiente colocar la valla.</v>
      </c>
      <c r="K91" s="196" t="str">
        <f>'[4]Matriz Mensual Génesis Sept 20'!K41</f>
        <v>18.530065, -69.839741</v>
      </c>
      <c r="L91" s="158" t="str">
        <f>'[4]Matriz Mensual Génesis Sept 20'!L41</f>
        <v>1N</v>
      </c>
      <c r="M91" s="19" t="str">
        <f>'[4]Matriz Mensual Génesis Sept 20'!M41</f>
        <v>Jimenez Monegro &amp; Asoc./Pedro Jimenez</v>
      </c>
      <c r="N91" s="140" t="str">
        <f>'[4]Matriz Mensual Génesis Sept 20'!N41</f>
        <v>(809)224-4131</v>
      </c>
      <c r="O91" s="140">
        <f>'[4]Matriz Mensual Génesis Sept 20'!O41</f>
        <v>0</v>
      </c>
      <c r="P91" s="140" t="str">
        <f>'[4]Matriz Mensual Génesis Sept 20'!P41</f>
        <v>2DO</v>
      </c>
      <c r="Q91" s="152">
        <f>'[4]Matriz Mensual Génesis Sept 20'!Q41</f>
        <v>0.03</v>
      </c>
    </row>
    <row r="92" spans="1:18" s="7" customFormat="1" ht="47.25" x14ac:dyDescent="0.25">
      <c r="A92" s="190">
        <f t="shared" si="1"/>
        <v>81</v>
      </c>
      <c r="B92" s="145" t="s">
        <v>732</v>
      </c>
      <c r="C92" s="137" t="s">
        <v>224</v>
      </c>
      <c r="D92" s="145" t="s">
        <v>238</v>
      </c>
      <c r="E92" s="145" t="s">
        <v>238</v>
      </c>
      <c r="F92" s="189" t="s">
        <v>638</v>
      </c>
      <c r="G92" s="189" t="s">
        <v>581</v>
      </c>
      <c r="H92" s="146" t="str">
        <f>'[4]Matriz Mensual Génesis Sept 20'!H42</f>
        <v>Inaugurado</v>
      </c>
      <c r="I92" s="146">
        <f>'[4]Matriz Mensual Génesis Sept 20'!I42</f>
        <v>0</v>
      </c>
      <c r="J92" s="259" t="str">
        <f>'[4]Matriz Mensual Génesis Sept 20'!J42</f>
        <v>CAIPI inaugurado el 27 julio 2020,</v>
      </c>
      <c r="K92" s="245" t="str">
        <f>'[4]Matriz Mensual Génesis Sept 20'!K42</f>
        <v>18.506204, -69.858619</v>
      </c>
      <c r="L92" s="211" t="str">
        <f>'[4]Matriz Mensual Génesis Sept 20'!L42</f>
        <v>2N</v>
      </c>
      <c r="M92" s="317" t="str">
        <f>'[4]Matriz Mensual Génesis Sept 20'!M42</f>
        <v>Jhonny Terc Mejia</v>
      </c>
      <c r="N92" s="146" t="str">
        <f>'[4]Matriz Mensual Génesis Sept 20'!N42</f>
        <v>(809)350-7209</v>
      </c>
      <c r="O92" s="146" t="str">
        <f>'[4]Matriz Mensual Génesis Sept 20'!O42</f>
        <v>jterc@hotmail.com</v>
      </c>
      <c r="P92" s="146" t="str">
        <f>'[4]Matriz Mensual Génesis Sept 20'!P42</f>
        <v>2DO</v>
      </c>
      <c r="Q92" s="147">
        <f>'[4]Matriz Mensual Génesis Sept 20'!Q42</f>
        <v>1</v>
      </c>
      <c r="R92" s="222"/>
    </row>
    <row r="93" spans="1:18" s="7" customFormat="1" ht="157.5" x14ac:dyDescent="0.25">
      <c r="A93" s="190">
        <f t="shared" si="1"/>
        <v>82</v>
      </c>
      <c r="B93" s="145" t="s">
        <v>732</v>
      </c>
      <c r="C93" s="137" t="s">
        <v>224</v>
      </c>
      <c r="D93" s="139" t="s">
        <v>238</v>
      </c>
      <c r="E93" s="139" t="s">
        <v>198</v>
      </c>
      <c r="F93" s="218" t="s">
        <v>639</v>
      </c>
      <c r="G93" s="189" t="s">
        <v>580</v>
      </c>
      <c r="H93" s="140" t="str">
        <f>'[4]Matriz Mensual Génesis Sept 20'!H43</f>
        <v>Inaugurado</v>
      </c>
      <c r="I93" s="209">
        <f>'[4]Matriz Mensual Génesis Sept 20'!I43</f>
        <v>0</v>
      </c>
      <c r="J93" s="253" t="str">
        <f>'[4]Matriz Mensual Génesis Sept 20'!J43</f>
        <v xml:space="preserve">CAIPI Inaugurado. Se realizó una visita previa a su inauguración con la Arq. Luz por parte del INAIPI el 11 de agosto para la pre-recepción (la misma había sido pospuesta) de este centro. Se  le hicieron observaciones al contratista con el propósito a corregir, algunas de ellas fueron reiteradas. </v>
      </c>
      <c r="K93" s="159" t="str">
        <f>'[4]Matriz Mensual Génesis Sept 20'!K43</f>
        <v>18.505519, -69.858152</v>
      </c>
      <c r="L93" s="159" t="str">
        <f>'[4]Matriz Mensual Génesis Sept 20'!L43</f>
        <v>2N</v>
      </c>
      <c r="M93" s="19" t="str">
        <f>'[4]Matriz Mensual Génesis Sept 20'!M43</f>
        <v>Fanny Anacaona Carrasco Socías</v>
      </c>
      <c r="N93" s="140" t="str">
        <f>'[4]Matriz Mensual Génesis Sept 20'!N43</f>
        <v>(809)440-5302</v>
      </c>
      <c r="O93" s="140" t="str">
        <f>'[4]Matriz Mensual Génesis Sept 20'!O43</f>
        <v>fannycarrascosocias@hotmail.com</v>
      </c>
      <c r="P93" s="140" t="str">
        <f>'[4]Matriz Mensual Génesis Sept 20'!P43</f>
        <v>2DO</v>
      </c>
      <c r="Q93" s="152">
        <f>'[4]Matriz Mensual Génesis Sept 20'!Q43</f>
        <v>1</v>
      </c>
    </row>
    <row r="94" spans="1:18" s="7" customFormat="1" ht="47.25" x14ac:dyDescent="0.25">
      <c r="A94" s="190">
        <f t="shared" si="1"/>
        <v>83</v>
      </c>
      <c r="B94" s="145" t="s">
        <v>732</v>
      </c>
      <c r="C94" s="318" t="s">
        <v>224</v>
      </c>
      <c r="D94" s="290" t="s">
        <v>238</v>
      </c>
      <c r="E94" s="289" t="s">
        <v>198</v>
      </c>
      <c r="F94" s="292" t="s">
        <v>601</v>
      </c>
      <c r="G94" s="292" t="s">
        <v>640</v>
      </c>
      <c r="H94" s="146" t="str">
        <f>'[4]Matriz Mensual Génesis Sept 20'!H44</f>
        <v>Sin Iniciar</v>
      </c>
      <c r="I94" s="212" t="str">
        <f>'[4]Matriz Mensual Génesis Sept 20'!I44</f>
        <v xml:space="preserve">Con Propuesta de Donación </v>
      </c>
      <c r="J94" s="252">
        <f>'[4]Matriz Mensual Génesis Sept 20'!J44</f>
        <v>0</v>
      </c>
      <c r="K94" s="188">
        <f>'[4]Matriz Mensual Génesis Sept 20'!K44</f>
        <v>0</v>
      </c>
      <c r="L94" s="188">
        <f>'[4]Matriz Mensual Génesis Sept 20'!L44</f>
        <v>0</v>
      </c>
      <c r="M94" s="146" t="str">
        <f>'[4]Matriz Mensual Génesis Sept 20'!M44</f>
        <v>SOLVIA SRL/Jose German Polanco</v>
      </c>
      <c r="N94" s="146" t="str">
        <f>'[4]Matriz Mensual Génesis Sept 20'!N44</f>
        <v>(809)284-4992</v>
      </c>
      <c r="O94" s="146" t="str">
        <f>'[4]Matriz Mensual Génesis Sept 20'!O44</f>
        <v>jgpolanco@gmail.com</v>
      </c>
      <c r="P94" s="146" t="str">
        <f>'[4]Matriz Mensual Génesis Sept 20'!P44</f>
        <v>2DO</v>
      </c>
      <c r="Q94" s="147">
        <f>'[4]Matriz Mensual Génesis Sept 20'!Q44</f>
        <v>0</v>
      </c>
    </row>
    <row r="95" spans="1:18" s="7" customFormat="1" ht="47.25" x14ac:dyDescent="0.25">
      <c r="A95" s="190">
        <f t="shared" si="1"/>
        <v>84</v>
      </c>
      <c r="B95" s="145" t="s">
        <v>732</v>
      </c>
      <c r="C95" s="318" t="s">
        <v>224</v>
      </c>
      <c r="D95" s="290" t="s">
        <v>238</v>
      </c>
      <c r="E95" s="290" t="s">
        <v>198</v>
      </c>
      <c r="F95" s="290" t="s">
        <v>642</v>
      </c>
      <c r="G95" s="290" t="s">
        <v>641</v>
      </c>
      <c r="H95" s="139" t="str">
        <f>'[4]Matriz Mensual Génesis Sept 20'!H45</f>
        <v>Sin Iniciar</v>
      </c>
      <c r="I95" s="139" t="str">
        <f>'[4]Matriz Mensual Génesis Sept 20'!I45</f>
        <v xml:space="preserve">Con Propuesta </v>
      </c>
      <c r="J95" s="253">
        <f>'[4]Matriz Mensual Génesis Sept 20'!J45</f>
        <v>0</v>
      </c>
      <c r="K95" s="159">
        <f>'[4]Matriz Mensual Génesis Sept 20'!K45</f>
        <v>0</v>
      </c>
      <c r="L95" s="159">
        <f>'[4]Matriz Mensual Génesis Sept 20'!L45</f>
        <v>0</v>
      </c>
      <c r="M95" s="140" t="str">
        <f>'[4]Matriz Mensual Génesis Sept 20'!M45</f>
        <v>Fanny Violeta Altagracia Guerrero Cedeño</v>
      </c>
      <c r="N95" s="140" t="str">
        <f>'[4]Matriz Mensual Génesis Sept 20'!N45</f>
        <v>(809)224-3373</v>
      </c>
      <c r="O95" s="140" t="str">
        <f>'[4]Matriz Mensual Génesis Sept 20'!O45</f>
        <v>fannyguerrero26@hotmail.com</v>
      </c>
      <c r="P95" s="139" t="str">
        <f>'[4]Matriz Mensual Génesis Sept 20'!P45</f>
        <v>2DO</v>
      </c>
      <c r="Q95" s="152">
        <f>'[4]Matriz Mensual Génesis Sept 20'!Q45</f>
        <v>0</v>
      </c>
    </row>
    <row r="96" spans="1:18" s="7" customFormat="1" ht="47.25" x14ac:dyDescent="0.25">
      <c r="A96" s="190">
        <f t="shared" si="1"/>
        <v>85</v>
      </c>
      <c r="B96" s="145" t="s">
        <v>732</v>
      </c>
      <c r="C96" s="318" t="s">
        <v>224</v>
      </c>
      <c r="D96" s="290" t="s">
        <v>238</v>
      </c>
      <c r="E96" s="290" t="s">
        <v>198</v>
      </c>
      <c r="F96" s="291" t="s">
        <v>643</v>
      </c>
      <c r="G96" s="291" t="s">
        <v>644</v>
      </c>
      <c r="H96" s="140" t="str">
        <f>'[4]Matriz Mensual Génesis Sept 20'!H46</f>
        <v>Sin Iniciar</v>
      </c>
      <c r="I96" s="209" t="str">
        <f>'[4]Matriz Mensual Génesis Sept 20'!I46</f>
        <v xml:space="preserve">Sin Propuesta </v>
      </c>
      <c r="J96" s="253">
        <f>'[4]Matriz Mensual Génesis Sept 20'!J46</f>
        <v>0</v>
      </c>
      <c r="K96" s="159">
        <f>'[4]Matriz Mensual Génesis Sept 20'!K46</f>
        <v>0</v>
      </c>
      <c r="L96" s="159">
        <f>'[4]Matriz Mensual Génesis Sept 20'!L46</f>
        <v>0</v>
      </c>
      <c r="M96" s="140" t="str">
        <f>'[4]Matriz Mensual Génesis Sept 20'!M46</f>
        <v>Andrés Roberto Pérez Cadena</v>
      </c>
      <c r="N96" s="140" t="str">
        <f>'[4]Matriz Mensual Génesis Sept 20'!N46</f>
        <v>(809)333-6656</v>
      </c>
      <c r="O96" s="140" t="str">
        <f>'[4]Matriz Mensual Génesis Sept 20'!O46</f>
        <v>anrope45@hotmail.com</v>
      </c>
      <c r="P96" s="140" t="str">
        <f>'[4]Matriz Mensual Génesis Sept 20'!P46</f>
        <v>2DO</v>
      </c>
      <c r="Q96" s="152">
        <f>'[4]Matriz Mensual Génesis Sept 20'!Q46</f>
        <v>0</v>
      </c>
    </row>
    <row r="97" spans="1:18" s="7" customFormat="1" ht="47.25" x14ac:dyDescent="0.25">
      <c r="A97" s="190">
        <f t="shared" si="1"/>
        <v>86</v>
      </c>
      <c r="B97" s="145" t="s">
        <v>732</v>
      </c>
      <c r="C97" s="318" t="s">
        <v>224</v>
      </c>
      <c r="D97" s="290" t="s">
        <v>225</v>
      </c>
      <c r="E97" s="290" t="s">
        <v>198</v>
      </c>
      <c r="F97" s="291" t="s">
        <v>649</v>
      </c>
      <c r="G97" s="291" t="s">
        <v>645</v>
      </c>
      <c r="H97" s="140" t="str">
        <f>'[4]Matriz Mensual Génesis Sept 20'!H47</f>
        <v>Sin Iniciar</v>
      </c>
      <c r="I97" s="209" t="str">
        <f>'[4]Matriz Mensual Génesis Sept 20'!I47</f>
        <v xml:space="preserve">Sin Propuesta </v>
      </c>
      <c r="J97" s="253">
        <f>'[4]Matriz Mensual Génesis Sept 20'!J47</f>
        <v>0</v>
      </c>
      <c r="K97" s="159">
        <f>'[4]Matriz Mensual Génesis Sept 20'!K47</f>
        <v>0</v>
      </c>
      <c r="L97" s="159">
        <f>'[4]Matriz Mensual Génesis Sept 20'!L47</f>
        <v>0</v>
      </c>
      <c r="M97" s="140" t="str">
        <f>'[4]Matriz Mensual Génesis Sept 20'!M47</f>
        <v>Jose Miguel Santana Valdez</v>
      </c>
      <c r="N97" s="140" t="str">
        <f>'[4]Matriz Mensual Génesis Sept 20'!N47</f>
        <v>(809)803-1056</v>
      </c>
      <c r="O97" s="140" t="str">
        <f>'[4]Matriz Mensual Génesis Sept 20'!O47</f>
        <v>sanvalarquitectura@gmail.com</v>
      </c>
      <c r="P97" s="140" t="str">
        <f>'[4]Matriz Mensual Génesis Sept 20'!P47</f>
        <v>2DO</v>
      </c>
      <c r="Q97" s="152">
        <f>'[4]Matriz Mensual Génesis Sept 20'!Q47</f>
        <v>0</v>
      </c>
    </row>
    <row r="98" spans="1:18" s="7" customFormat="1" ht="47.25" x14ac:dyDescent="0.25">
      <c r="A98" s="190">
        <f t="shared" si="1"/>
        <v>87</v>
      </c>
      <c r="B98" s="145" t="s">
        <v>732</v>
      </c>
      <c r="C98" s="318" t="s">
        <v>224</v>
      </c>
      <c r="D98" s="290" t="s">
        <v>238</v>
      </c>
      <c r="E98" s="290" t="s">
        <v>198</v>
      </c>
      <c r="F98" s="291" t="s">
        <v>597</v>
      </c>
      <c r="G98" s="291" t="s">
        <v>646</v>
      </c>
      <c r="H98" s="140" t="str">
        <f>'[4]Matriz Mensual Génesis Sept 20'!H48</f>
        <v>Sin Iniciar</v>
      </c>
      <c r="I98" s="209" t="str">
        <f>'[4]Matriz Mensual Génesis Sept 20'!I48</f>
        <v xml:space="preserve">Con Propuesta </v>
      </c>
      <c r="J98" s="253">
        <f>'[4]Matriz Mensual Génesis Sept 20'!J48</f>
        <v>0</v>
      </c>
      <c r="K98" s="159">
        <f>'[4]Matriz Mensual Génesis Sept 20'!K48</f>
        <v>0</v>
      </c>
      <c r="L98" s="159">
        <f>'[4]Matriz Mensual Génesis Sept 20'!L48</f>
        <v>0</v>
      </c>
      <c r="M98" s="140" t="str">
        <f>'[4]Matriz Mensual Génesis Sept 20'!M48</f>
        <v>Pablo José Espinal Madera</v>
      </c>
      <c r="N98" s="140" t="str">
        <f>'[4]Matriz Mensual Génesis Sept 20'!N48</f>
        <v>(809)330-4085</v>
      </c>
      <c r="O98" s="140" t="str">
        <f>'[4]Matriz Mensual Génesis Sept 20'!O48</f>
        <v>pablomadera@gmail.com</v>
      </c>
      <c r="P98" s="140" t="str">
        <f>'[4]Matriz Mensual Génesis Sept 20'!P48</f>
        <v>2DO</v>
      </c>
      <c r="Q98" s="152">
        <f>'[4]Matriz Mensual Génesis Sept 20'!Q48</f>
        <v>0</v>
      </c>
    </row>
    <row r="99" spans="1:18" s="7" customFormat="1" ht="47.25" x14ac:dyDescent="0.25">
      <c r="A99" s="190">
        <f t="shared" si="1"/>
        <v>88</v>
      </c>
      <c r="B99" s="145" t="s">
        <v>732</v>
      </c>
      <c r="C99" s="318" t="s">
        <v>224</v>
      </c>
      <c r="D99" s="290" t="s">
        <v>238</v>
      </c>
      <c r="E99" s="290" t="s">
        <v>198</v>
      </c>
      <c r="F99" s="291" t="s">
        <v>648</v>
      </c>
      <c r="G99" s="291" t="s">
        <v>647</v>
      </c>
      <c r="H99" s="140" t="str">
        <f>'[4]Matriz Mensual Génesis Sept 20'!H49</f>
        <v>Sin Iniciar</v>
      </c>
      <c r="I99" s="209" t="str">
        <f>'[4]Matriz Mensual Génesis Sept 20'!I49</f>
        <v xml:space="preserve">Con Propuesta de Donación </v>
      </c>
      <c r="J99" s="253">
        <f>'[4]Matriz Mensual Génesis Sept 20'!J49</f>
        <v>0</v>
      </c>
      <c r="K99" s="159">
        <f>'[4]Matriz Mensual Génesis Sept 20'!K49</f>
        <v>0</v>
      </c>
      <c r="L99" s="159">
        <f>'[4]Matriz Mensual Génesis Sept 20'!L49</f>
        <v>0</v>
      </c>
      <c r="M99" s="140" t="str">
        <f>'[4]Matriz Mensual Génesis Sept 20'!M49</f>
        <v>Hnos. Yaryura, Arq. &amp; Ing.</v>
      </c>
      <c r="N99" s="140" t="str">
        <f>'[4]Matriz Mensual Génesis Sept 20'!N49</f>
        <v>809-537-2524 / 
809-440-1572</v>
      </c>
      <c r="O99" s="140" t="str">
        <f>'[4]Matriz Mensual Génesis Sept 20'!O49</f>
        <v>hamidyaryura@peypac.com.do</v>
      </c>
      <c r="P99" s="140" t="str">
        <f>'[4]Matriz Mensual Génesis Sept 20'!P49</f>
        <v>1ER</v>
      </c>
      <c r="Q99" s="152">
        <f>'[4]Matriz Mensual Génesis Sept 20'!Q49</f>
        <v>0</v>
      </c>
    </row>
    <row r="100" spans="1:18" s="7" customFormat="1" ht="126" x14ac:dyDescent="0.25">
      <c r="A100" s="190">
        <f t="shared" si="1"/>
        <v>89</v>
      </c>
      <c r="B100" s="145" t="s">
        <v>732</v>
      </c>
      <c r="C100" s="137" t="s">
        <v>224</v>
      </c>
      <c r="D100" s="95" t="s">
        <v>276</v>
      </c>
      <c r="E100" s="95" t="s">
        <v>144</v>
      </c>
      <c r="F100" s="95" t="s">
        <v>277</v>
      </c>
      <c r="G100" s="95" t="s">
        <v>278</v>
      </c>
      <c r="H100" s="95" t="str">
        <f>'[4]Matriz Mensual Génesis Sept 20'!H50</f>
        <v>En Construcción</v>
      </c>
      <c r="I100" s="95">
        <f>'[4]Matriz Mensual Génesis Sept 20'!I50</f>
        <v>0</v>
      </c>
      <c r="J100" s="260" t="str">
        <f>'[4]Matriz Mensual Génesis Sept 20'!J50</f>
        <v>CAIPI en construcción. Realizó movimiento de tierra, a inicio de octubre 2020 iniciará con el replanteo de la verja perimetral. Está pendiente por parte de la supervisión rectificación de la volumetría del movimiento de tierra.</v>
      </c>
      <c r="K100" s="197" t="str">
        <f>'[4]Matriz Mensual Génesis Sept 20'!K50</f>
        <v>18.552064, -69.711553</v>
      </c>
      <c r="L100" s="194" t="str">
        <f>'[4]Matriz Mensual Génesis Sept 20'!L50</f>
        <v>2N</v>
      </c>
      <c r="M100" s="100" t="str">
        <f>'[4]Matriz Mensual Génesis Sept 20'!M50</f>
        <v>Maria Elena Vargas</v>
      </c>
      <c r="N100" s="95" t="str">
        <f>'[4]Matriz Mensual Génesis Sept 20'!N50</f>
        <v>(809)848-6639</v>
      </c>
      <c r="O100" s="95" t="str">
        <f>'[4]Matriz Mensual Génesis Sept 20'!O50</f>
        <v>mariep.vargas@hotmail.com</v>
      </c>
      <c r="P100" s="95" t="str">
        <f>'[4]Matriz Mensual Génesis Sept 20'!P50</f>
        <v>2DO</v>
      </c>
      <c r="Q100" s="198">
        <f>'[4]Matriz Mensual Génesis Sept 20'!Q50</f>
        <v>0.04</v>
      </c>
    </row>
    <row r="101" spans="1:18" s="7" customFormat="1" ht="47.25" x14ac:dyDescent="0.25">
      <c r="A101" s="190">
        <f t="shared" si="1"/>
        <v>90</v>
      </c>
      <c r="B101" s="145" t="s">
        <v>732</v>
      </c>
      <c r="C101" s="137" t="s">
        <v>224</v>
      </c>
      <c r="D101" s="137" t="s">
        <v>279</v>
      </c>
      <c r="E101" s="137" t="s">
        <v>144</v>
      </c>
      <c r="F101" s="143" t="s">
        <v>562</v>
      </c>
      <c r="G101" s="143" t="s">
        <v>280</v>
      </c>
      <c r="H101" s="137" t="str">
        <f>'[4]Matriz Mensual Génesis Sept 20'!H51</f>
        <v>Inaugurado</v>
      </c>
      <c r="I101" s="213">
        <f>'[4]Matriz Mensual Génesis Sept 20'!I51</f>
        <v>0</v>
      </c>
      <c r="J101" s="251">
        <f>'[4]Matriz Mensual Génesis Sept 20'!J51</f>
        <v>0</v>
      </c>
      <c r="K101" s="235">
        <f>'[4]Matriz Mensual Génesis Sept 20'!K51</f>
        <v>0</v>
      </c>
      <c r="L101" s="137" t="str">
        <f>'[4]Matriz Mensual Génesis Sept 20'!L51</f>
        <v>1N</v>
      </c>
      <c r="M101" s="19" t="str">
        <f>'[4]Matriz Mensual Génesis Sept 20'!M51</f>
        <v>Harlem Ramón Thomas Troncoso</v>
      </c>
      <c r="N101" s="137">
        <f>'[4]Matriz Mensual Génesis Sept 20'!N51</f>
        <v>0</v>
      </c>
      <c r="O101" s="137">
        <f>'[4]Matriz Mensual Génesis Sept 20'!O51</f>
        <v>0</v>
      </c>
      <c r="P101" s="143" t="str">
        <f>'[4]Matriz Mensual Génesis Sept 20'!P51</f>
        <v>1ER</v>
      </c>
      <c r="Q101" s="149">
        <f>'[4]Matriz Mensual Génesis Sept 20'!Q51</f>
        <v>1</v>
      </c>
    </row>
    <row r="102" spans="1:18" s="7" customFormat="1" ht="47.25" x14ac:dyDescent="0.25">
      <c r="A102" s="190">
        <f t="shared" si="1"/>
        <v>91</v>
      </c>
      <c r="B102" s="139" t="s">
        <v>281</v>
      </c>
      <c r="C102" s="137" t="s">
        <v>224</v>
      </c>
      <c r="D102" s="139" t="s">
        <v>279</v>
      </c>
      <c r="E102" s="139" t="s">
        <v>144</v>
      </c>
      <c r="F102" s="140" t="s">
        <v>560</v>
      </c>
      <c r="G102" s="140" t="s">
        <v>282</v>
      </c>
      <c r="H102" s="140" t="str">
        <f>'[5]Resumen Magdalena M. Sept 2020'!H10</f>
        <v>Inaugurado</v>
      </c>
      <c r="I102" s="209">
        <f>'[5]Resumen Magdalena M. Sept 2020'!I10</f>
        <v>0</v>
      </c>
      <c r="J102" s="253" t="str">
        <f>'[5]Resumen Magdalena M. Sept 2020'!J10</f>
        <v>Inaugurado</v>
      </c>
      <c r="K102" s="196">
        <f>'[5]Resumen Magdalena M. Sept 2020'!K10</f>
        <v>0</v>
      </c>
      <c r="L102" s="158">
        <f>'[5]Resumen Magdalena M. Sept 2020'!L10</f>
        <v>0</v>
      </c>
      <c r="M102" s="19" t="str">
        <f>'[5]Resumen Magdalena M. Sept 2020'!M10</f>
        <v>Robert W. Cuevas Labour</v>
      </c>
      <c r="N102" s="140">
        <f>'[5]Resumen Magdalena M. Sept 2020'!N10</f>
        <v>0</v>
      </c>
      <c r="O102" s="151">
        <f>'[5]Resumen Magdalena M. Sept 2020'!O10</f>
        <v>0</v>
      </c>
      <c r="P102" s="151" t="str">
        <f>'[5]Resumen Magdalena M. Sept 2020'!P10</f>
        <v>1ER</v>
      </c>
      <c r="Q102" s="152">
        <f>'[5]Resumen Magdalena M. Sept 2020'!Q10</f>
        <v>1</v>
      </c>
    </row>
    <row r="103" spans="1:18" s="7" customFormat="1" ht="315" customHeight="1" x14ac:dyDescent="0.25">
      <c r="A103" s="190">
        <f t="shared" si="1"/>
        <v>92</v>
      </c>
      <c r="B103" s="139" t="s">
        <v>281</v>
      </c>
      <c r="C103" s="137" t="s">
        <v>224</v>
      </c>
      <c r="D103" s="139" t="s">
        <v>279</v>
      </c>
      <c r="E103" s="139" t="s">
        <v>144</v>
      </c>
      <c r="F103" s="140" t="s">
        <v>283</v>
      </c>
      <c r="G103" s="140" t="s">
        <v>284</v>
      </c>
      <c r="H103" s="151" t="str">
        <f>'[5]Resumen Magdalena M. Sept 2020'!H11</f>
        <v>Detenido pago cubicación</v>
      </c>
      <c r="I103" s="209">
        <f>'[5]Resumen Magdalena M. Sept 2020'!I11</f>
        <v>0</v>
      </c>
      <c r="J103" s="273" t="str">
        <f>'[5]Resumen Magdalena M. Sept 2020'!J11</f>
        <v xml:space="preserve">CAIPI detenido. Presenta avances en la preparación de hierros, de barandas, el pulimento de pisos, los pozos, entre otros. El contratista solicitó los planos de área exterior (paisajismo) y espera línea de crédito aprobada. Están pendientes los trabajos de correcciones de observaciones realizadas por DIGEPEP y los técnicos de   INAIPI, en visita realizada   en octubre 2019, con relación a las modificaciones de la cocina y en el módulo de lactancia, de acuerdo con los requerimientos del INAIPI.
</v>
      </c>
      <c r="K103" s="196" t="str">
        <f>'[5]Resumen Magdalena M. Sept 2020'!K11</f>
        <v>18.542279, -69.993321</v>
      </c>
      <c r="L103" s="158" t="str">
        <f>'[5]Resumen Magdalena M. Sept 2020'!L11</f>
        <v>1N</v>
      </c>
      <c r="M103" s="19" t="str">
        <f>'[5]Resumen Magdalena M. Sept 2020'!M11</f>
        <v>Pedro José Rodríguez Moris</v>
      </c>
      <c r="N103" s="140">
        <f>'[5]Resumen Magdalena M. Sept 2020'!N11</f>
        <v>0</v>
      </c>
      <c r="O103" s="151" t="str">
        <f>'[5]Resumen Magdalena M. Sept 2020'!O11</f>
        <v>pedrojoserodriguezmoris@hotmail.com</v>
      </c>
      <c r="P103" s="151" t="str">
        <f>'[5]Resumen Magdalena M. Sept 2020'!P11</f>
        <v>2DO</v>
      </c>
      <c r="Q103" s="152">
        <f>'[5]Resumen Magdalena M. Sept 2020'!Q11</f>
        <v>0.75</v>
      </c>
    </row>
    <row r="104" spans="1:18" s="7" customFormat="1" ht="220.5" x14ac:dyDescent="0.25">
      <c r="A104" s="190">
        <f t="shared" si="1"/>
        <v>93</v>
      </c>
      <c r="B104" s="139" t="s">
        <v>281</v>
      </c>
      <c r="C104" s="137" t="s">
        <v>224</v>
      </c>
      <c r="D104" s="139" t="s">
        <v>279</v>
      </c>
      <c r="E104" s="139" t="s">
        <v>144</v>
      </c>
      <c r="F104" s="140" t="s">
        <v>285</v>
      </c>
      <c r="G104" s="140" t="s">
        <v>286</v>
      </c>
      <c r="H104" s="151" t="str">
        <f>'[5]Resumen Magdalena M. Sept 2020'!H12</f>
        <v>Detenido pago terreno</v>
      </c>
      <c r="I104" s="209">
        <f>'[5]Resumen Magdalena M. Sept 2020'!I12</f>
        <v>0</v>
      </c>
      <c r="J104" s="253" t="str">
        <f>'[5]Resumen Magdalena M. Sept 2020'!J12</f>
        <v>CAIPI detenido por terreno (más de 3 años). El proceso de este CAIPI continúa sin resolver la situación de pago de terreno. En la última semana del mes de mayo del 2019, fue realizada una visita por los técnicos de OISOE y MINERD; la misma fue objetada por el propietario del terreno, exigiendo el saldo la adquisición de este. Actualmente se observa un letrero colocado en la parte frontal del terreno, donde indica que está en proceso de   deslinde.</v>
      </c>
      <c r="K104" s="196" t="str">
        <f>'[5]Resumen Magdalena M. Sept 2020'!K12</f>
        <v>18.511152, -70.03469118</v>
      </c>
      <c r="L104" s="158" t="str">
        <f>'[5]Resumen Magdalena M. Sept 2020'!L12</f>
        <v>1N</v>
      </c>
      <c r="M104" s="19" t="str">
        <f>'[5]Resumen Magdalena M. Sept 2020'!M12</f>
        <v>Rafael Odalis Quezada Sánchez / Carlos Bautista</v>
      </c>
      <c r="N104" s="140">
        <f>'[5]Resumen Magdalena M. Sept 2020'!N12</f>
        <v>0</v>
      </c>
      <c r="O104" s="151" t="str">
        <f>'[5]Resumen Magdalena M. Sept 2020'!O12</f>
        <v>alcantara.1995@hotmail.com</v>
      </c>
      <c r="P104" s="151" t="str">
        <f>'[5]Resumen Magdalena M. Sept 2020'!P12</f>
        <v>1ER</v>
      </c>
      <c r="Q104" s="152">
        <f>'[5]Resumen Magdalena M. Sept 2020'!Q12</f>
        <v>0.14000000000000001</v>
      </c>
    </row>
    <row r="105" spans="1:18" s="7" customFormat="1" ht="236.25" x14ac:dyDescent="0.25">
      <c r="A105" s="190">
        <f t="shared" si="1"/>
        <v>94</v>
      </c>
      <c r="B105" s="139" t="s">
        <v>281</v>
      </c>
      <c r="C105" s="137" t="s">
        <v>224</v>
      </c>
      <c r="D105" s="139" t="s">
        <v>279</v>
      </c>
      <c r="E105" s="139" t="s">
        <v>144</v>
      </c>
      <c r="F105" s="139" t="s">
        <v>287</v>
      </c>
      <c r="G105" s="140" t="s">
        <v>288</v>
      </c>
      <c r="H105" s="151" t="str">
        <f>'[5]Resumen Magdalena M. Sept 2020'!H13</f>
        <v>Detenido pago terreno</v>
      </c>
      <c r="I105" s="209">
        <f>'[5]Resumen Magdalena M. Sept 2020'!I13</f>
        <v>0</v>
      </c>
      <c r="J105" s="253" t="str">
        <f>'[5]Resumen Magdalena M. Sept 2020'!J13</f>
        <v>CAIPI detenido hace más de 4 años por compra de terreno adicional, el cual está ubicado en la parte posterior, por lo que no se pudo continuar con el proceso constructivo, al Sr. Nicodemo se le pagó el terreno en cuestión, sin embargo, el MINERD le concedió 60 días para mudarse, la cual han concluidos. En otro sentido, el propietario del primer terreno afirma que aún no se le ha concluido el pago, (vive al lado del CAIPI). Iniciaron  limpieza del proyecto.</v>
      </c>
      <c r="K105" s="196" t="str">
        <f>'[5]Resumen Magdalena M. Sept 2020'!K13</f>
        <v>18.519952, -70.044515</v>
      </c>
      <c r="L105" s="158" t="str">
        <f>'[5]Resumen Magdalena M. Sept 2020'!L13</f>
        <v>1N</v>
      </c>
      <c r="M105" s="19" t="str">
        <f>'[5]Resumen Magdalena M. Sept 2020'!M13</f>
        <v>Elika María Contreras Alvarado/Juan Carlos Rodríguez</v>
      </c>
      <c r="N105" s="140">
        <f>'[5]Resumen Magdalena M. Sept 2020'!N13</f>
        <v>0</v>
      </c>
      <c r="O105" s="151">
        <f>'[5]Resumen Magdalena M. Sept 2020'!O13</f>
        <v>0</v>
      </c>
      <c r="P105" s="151" t="str">
        <f>'[5]Resumen Magdalena M. Sept 2020'!P13</f>
        <v>1ER</v>
      </c>
      <c r="Q105" s="152">
        <f>'[5]Resumen Magdalena M. Sept 2020'!Q13</f>
        <v>0.21</v>
      </c>
    </row>
    <row r="106" spans="1:18" s="7" customFormat="1" ht="157.5" x14ac:dyDescent="0.25">
      <c r="A106" s="190">
        <f t="shared" si="1"/>
        <v>95</v>
      </c>
      <c r="B106" s="139" t="s">
        <v>281</v>
      </c>
      <c r="C106" s="137" t="s">
        <v>224</v>
      </c>
      <c r="D106" s="139" t="s">
        <v>279</v>
      </c>
      <c r="E106" s="139" t="s">
        <v>144</v>
      </c>
      <c r="F106" s="140" t="s">
        <v>289</v>
      </c>
      <c r="G106" s="140" t="s">
        <v>290</v>
      </c>
      <c r="H106" s="151" t="str">
        <f>'[5]Resumen Magdalena M. Sept 2020'!H14</f>
        <v>Detenido</v>
      </c>
      <c r="I106" s="209">
        <f>'[5]Resumen Magdalena M. Sept 2020'!I14</f>
        <v>0</v>
      </c>
      <c r="J106" s="253" t="str">
        <f>'[5]Resumen Magdalena M. Sept 2020'!J14</f>
        <v>CAIPI detenido por problemas con el terreno propiedad del MINERD,  hace más de 4 años. Actualmente están a la espera de planos y de la validación de que el terreno esta liberado de situación de pago a antiguos ocupantes. Se observa que continúan depositando escombros en dicho terreno.</v>
      </c>
      <c r="K106" s="196" t="str">
        <f>'[5]Resumen Magdalena M. Sept 2020'!K14</f>
        <v>18.518175, -70.017087</v>
      </c>
      <c r="L106" s="158" t="str">
        <f>'[5]Resumen Magdalena M. Sept 2020'!L14</f>
        <v>1N</v>
      </c>
      <c r="M106" s="19" t="str">
        <f>'[5]Resumen Magdalena M. Sept 2020'!M14</f>
        <v>Aimee Gregoria Maleck Soto</v>
      </c>
      <c r="N106" s="140">
        <f>'[5]Resumen Magdalena M. Sept 2020'!N14</f>
        <v>0</v>
      </c>
      <c r="O106" s="151" t="str">
        <f>'[5]Resumen Magdalena M. Sept 2020'!O14</f>
        <v>maleck_03@yahoo.com</v>
      </c>
      <c r="P106" s="151" t="str">
        <f>'[5]Resumen Magdalena M. Sept 2020'!P14</f>
        <v>2DO</v>
      </c>
      <c r="Q106" s="152">
        <f>'[5]Resumen Magdalena M. Sept 2020'!Q14</f>
        <v>0</v>
      </c>
    </row>
    <row r="107" spans="1:18" s="7" customFormat="1" ht="409.5" x14ac:dyDescent="0.25">
      <c r="A107" s="190">
        <f t="shared" si="1"/>
        <v>96</v>
      </c>
      <c r="B107" s="139" t="s">
        <v>281</v>
      </c>
      <c r="C107" s="137" t="s">
        <v>224</v>
      </c>
      <c r="D107" s="139" t="s">
        <v>279</v>
      </c>
      <c r="E107" s="139" t="s">
        <v>144</v>
      </c>
      <c r="F107" s="140" t="s">
        <v>291</v>
      </c>
      <c r="G107" s="140" t="s">
        <v>292</v>
      </c>
      <c r="H107" s="151" t="str">
        <f>'[5]Resumen Magdalena M. Sept 2020'!H15</f>
        <v>Detenido pago cubicación</v>
      </c>
      <c r="I107" s="209">
        <f>'[5]Resumen Magdalena M. Sept 2020'!I15</f>
        <v>0</v>
      </c>
      <c r="J107" s="253" t="str">
        <f>'[5]Resumen Magdalena M. Sept 2020'!J15</f>
        <v>CAIPI detenido por cubicación.  En etapa final con primeras manos de pinturas de colores, detenido en espera de pago de cubicación, en proceso de revisión de cubicaciones por estados financieros. En reunión en la tercera semana del mes de marzo 2019 con la supervisión del MOPC, la contratista se acordó continuar con la construcción, y así gestionar la solución de los problemas que impedían que la obra se termine. En el mes de octubre del 2019 nos reunimos con la contratista, Supervisores de MOPC, Técnicos de DIGEPEP y de INAIPI, a los fines de comunicar las modificaciones y requerimientos de la cocina; la ubicación de una escalera de servicio y puerta de acceso para el mantenimiento en la azotea, los drenajes de segundo nivel, lactancia, solución de detalle en terraza.</v>
      </c>
      <c r="K107" s="196" t="str">
        <f>'[5]Resumen Magdalena M. Sept 2020'!K15</f>
        <v>18.539765, -70.032064</v>
      </c>
      <c r="L107" s="158" t="str">
        <f>'[5]Resumen Magdalena M. Sept 2020'!L15</f>
        <v>2N</v>
      </c>
      <c r="M107" s="19" t="str">
        <f>'[5]Resumen Magdalena M. Sept 2020'!M15</f>
        <v>Jennifer Virginia Peláez Durán</v>
      </c>
      <c r="N107" s="140">
        <f>'[5]Resumen Magdalena M. Sept 2020'!N15</f>
        <v>0</v>
      </c>
      <c r="O107" s="151" t="str">
        <f>'[5]Resumen Magdalena M. Sept 2020'!O15</f>
        <v>jenniferpelaez12@hotmail.com</v>
      </c>
      <c r="P107" s="151" t="str">
        <f>'[5]Resumen Magdalena M. Sept 2020'!P15</f>
        <v>2DO</v>
      </c>
      <c r="Q107" s="152">
        <f>'[5]Resumen Magdalena M. Sept 2020'!Q15</f>
        <v>0.84</v>
      </c>
    </row>
    <row r="108" spans="1:18" s="7" customFormat="1" ht="31.5" x14ac:dyDescent="0.25">
      <c r="A108" s="190">
        <f t="shared" si="1"/>
        <v>97</v>
      </c>
      <c r="B108" s="145" t="s">
        <v>281</v>
      </c>
      <c r="C108" s="137" t="s">
        <v>224</v>
      </c>
      <c r="D108" s="145" t="s">
        <v>279</v>
      </c>
      <c r="E108" s="145" t="s">
        <v>144</v>
      </c>
      <c r="F108" s="146" t="s">
        <v>293</v>
      </c>
      <c r="G108" s="146" t="s">
        <v>294</v>
      </c>
      <c r="H108" s="150" t="str">
        <f>'[5]Resumen Magdalena M. Sept 2020'!H16</f>
        <v>Inaugurado</v>
      </c>
      <c r="I108" s="212">
        <f>'[5]Resumen Magdalena M. Sept 2020'!I16</f>
        <v>0</v>
      </c>
      <c r="J108" s="252" t="str">
        <f>'[5]Resumen Magdalena M. Sept 2020'!J16</f>
        <v>Inaugurado 2019</v>
      </c>
      <c r="K108" s="211" t="str">
        <f>'[5]Resumen Magdalena M. Sept 2020'!K16</f>
        <v>18.521344, -70.059407</v>
      </c>
      <c r="L108" s="187" t="str">
        <f>'[5]Resumen Magdalena M. Sept 2020'!L16</f>
        <v>1N</v>
      </c>
      <c r="M108" s="24" t="str">
        <f>'[5]Resumen Magdalena M. Sept 2020'!M16</f>
        <v>Santos de la Cruz</v>
      </c>
      <c r="N108" s="146">
        <f>'[5]Resumen Magdalena M. Sept 2020'!N16</f>
        <v>0</v>
      </c>
      <c r="O108" s="150" t="str">
        <f>'[5]Resumen Magdalena M. Sept 2020'!O16</f>
        <v>ing.santos1978@gmail.com</v>
      </c>
      <c r="P108" s="150" t="str">
        <f>'[5]Resumen Magdalena M. Sept 2020'!P16</f>
        <v>2DO</v>
      </c>
      <c r="Q108" s="147">
        <f>'[5]Resumen Magdalena M. Sept 2020'!Q16</f>
        <v>1</v>
      </c>
    </row>
    <row r="109" spans="1:18" s="7" customFormat="1" ht="63" x14ac:dyDescent="0.25">
      <c r="A109" s="190">
        <f t="shared" si="1"/>
        <v>98</v>
      </c>
      <c r="B109" s="290" t="s">
        <v>281</v>
      </c>
      <c r="C109" s="318" t="s">
        <v>224</v>
      </c>
      <c r="D109" s="290" t="s">
        <v>602</v>
      </c>
      <c r="E109" s="290" t="s">
        <v>144</v>
      </c>
      <c r="F109" s="291" t="s">
        <v>650</v>
      </c>
      <c r="G109" s="291" t="s">
        <v>602</v>
      </c>
      <c r="H109" s="151" t="str">
        <f>'[5]Resumen Magdalena M. Sept 2020'!H17</f>
        <v>Sin Iniciar</v>
      </c>
      <c r="I109" s="151" t="str">
        <f>'[5]Resumen Magdalena M. Sept 2020'!I17</f>
        <v xml:space="preserve">Sin Propuesta </v>
      </c>
      <c r="J109" s="253">
        <f>'[5]Resumen Magdalena M. Sept 2020'!J17</f>
        <v>0</v>
      </c>
      <c r="K109" s="196" t="str">
        <f>'[5]Resumen Magdalena M. Sept 2020'!K17</f>
        <v>18.570315,-70.088793</v>
      </c>
      <c r="L109" s="158">
        <f>'[5]Resumen Magdalena M. Sept 2020'!L17</f>
        <v>0</v>
      </c>
      <c r="M109" s="151" t="str">
        <f>'[5]Resumen Magdalena M. Sept 2020'!M17</f>
        <v>Eduardo Lajara Guerrero</v>
      </c>
      <c r="N109" s="151" t="str">
        <f>'[5]Resumen Magdalena M. Sept 2020'!N17</f>
        <v>(809)383-3040</v>
      </c>
      <c r="O109" s="151" t="str">
        <f>'[5]Resumen Magdalena M. Sept 2020'!O17</f>
        <v>ing.lajara@live.com</v>
      </c>
      <c r="P109" s="151" t="str">
        <f>'[5]Resumen Magdalena M. Sept 2020'!P17</f>
        <v>2DO</v>
      </c>
      <c r="Q109" s="152">
        <f>'[5]Resumen Magdalena M. Sept 2020'!Q17</f>
        <v>0</v>
      </c>
    </row>
    <row r="110" spans="1:18" s="7" customFormat="1" ht="78.75" x14ac:dyDescent="0.25">
      <c r="A110" s="190">
        <f t="shared" si="1"/>
        <v>99</v>
      </c>
      <c r="B110" s="139" t="s">
        <v>281</v>
      </c>
      <c r="C110" s="137" t="s">
        <v>224</v>
      </c>
      <c r="D110" s="139" t="s">
        <v>295</v>
      </c>
      <c r="E110" s="139" t="s">
        <v>198</v>
      </c>
      <c r="F110" s="139" t="s">
        <v>296</v>
      </c>
      <c r="G110" s="139" t="s">
        <v>297</v>
      </c>
      <c r="H110" s="154" t="str">
        <f>'[5]Resumen Magdalena M. Sept 2020'!H18</f>
        <v>Inaugurado</v>
      </c>
      <c r="I110" s="209">
        <f>'[5]Resumen Magdalena M. Sept 2020'!I18</f>
        <v>0</v>
      </c>
      <c r="J110" s="253" t="str">
        <f>'[5]Resumen Magdalena M. Sept 2020'!J18</f>
        <v>Inaugurado Nov 2016</v>
      </c>
      <c r="K110" s="196" t="str">
        <f>'[5]Resumen Magdalena M. Sept 2020'!K18</f>
        <v>18.544599, -69.874615</v>
      </c>
      <c r="L110" s="158">
        <f>'[5]Resumen Magdalena M. Sept 2020'!L18</f>
        <v>0</v>
      </c>
      <c r="M110" s="19" t="str">
        <f>'[5]Resumen Magdalena M. Sept 2020'!M18</f>
        <v>Luis Emilio Ogando</v>
      </c>
      <c r="N110" s="140">
        <f>'[5]Resumen Magdalena M. Sept 2020'!N18</f>
        <v>0</v>
      </c>
      <c r="O110" s="151" t="str">
        <f>'[5]Resumen Magdalena M. Sept 2020'!O18</f>
        <v>moreno.mateo@gmail.com</v>
      </c>
      <c r="P110" s="154" t="str">
        <f>'[5]Resumen Magdalena M. Sept 2020'!P18</f>
        <v>1ER</v>
      </c>
      <c r="Q110" s="152">
        <f>'[5]Resumen Magdalena M. Sept 2020'!Q18</f>
        <v>1</v>
      </c>
    </row>
    <row r="111" spans="1:18" s="7" customFormat="1" ht="31.5" x14ac:dyDescent="0.25">
      <c r="A111" s="190">
        <f t="shared" si="1"/>
        <v>100</v>
      </c>
      <c r="B111" s="139" t="s">
        <v>281</v>
      </c>
      <c r="C111" s="137" t="s">
        <v>224</v>
      </c>
      <c r="D111" s="139" t="s">
        <v>295</v>
      </c>
      <c r="E111" s="139" t="s">
        <v>198</v>
      </c>
      <c r="F111" s="139" t="s">
        <v>298</v>
      </c>
      <c r="G111" s="139" t="s">
        <v>299</v>
      </c>
      <c r="H111" s="154" t="str">
        <f>'[5]Resumen Magdalena M. Sept 2020'!H19</f>
        <v>Inaugurado</v>
      </c>
      <c r="I111" s="209">
        <f>'[5]Resumen Magdalena M. Sept 2020'!I19</f>
        <v>0</v>
      </c>
      <c r="J111" s="253">
        <f>'[5]Resumen Magdalena M. Sept 2020'!J19</f>
        <v>0</v>
      </c>
      <c r="K111" s="196" t="str">
        <f>'[5]Resumen Magdalena M. Sept 2020'!K19</f>
        <v>18.544599, -69.874615</v>
      </c>
      <c r="L111" s="158">
        <f>'[5]Resumen Magdalena M. Sept 2020'!L19</f>
        <v>0</v>
      </c>
      <c r="M111" s="19" t="str">
        <f>'[5]Resumen Magdalena M. Sept 2020'!M19</f>
        <v>José Ramón de León</v>
      </c>
      <c r="N111" s="154">
        <f>'[5]Resumen Magdalena M. Sept 2020'!N19</f>
        <v>0</v>
      </c>
      <c r="O111" s="154">
        <f>'[5]Resumen Magdalena M. Sept 2020'!O19</f>
        <v>0</v>
      </c>
      <c r="P111" s="154" t="str">
        <f>'[5]Resumen Magdalena M. Sept 2020'!P19</f>
        <v>1ER</v>
      </c>
      <c r="Q111" s="152">
        <f>'[5]Resumen Magdalena M. Sept 2020'!Q19</f>
        <v>1</v>
      </c>
    </row>
    <row r="112" spans="1:18" s="7" customFormat="1" ht="311.25" customHeight="1" x14ac:dyDescent="0.25">
      <c r="A112" s="190">
        <f t="shared" si="1"/>
        <v>101</v>
      </c>
      <c r="B112" s="139" t="s">
        <v>281</v>
      </c>
      <c r="C112" s="137" t="s">
        <v>224</v>
      </c>
      <c r="D112" s="139" t="s">
        <v>295</v>
      </c>
      <c r="E112" s="139" t="s">
        <v>198</v>
      </c>
      <c r="F112" s="139" t="s">
        <v>296</v>
      </c>
      <c r="G112" s="139" t="s">
        <v>300</v>
      </c>
      <c r="H112" s="154" t="str">
        <f>'[5]Resumen Magdalena M. Sept 2020'!H20</f>
        <v>Detenido pago cubicación</v>
      </c>
      <c r="I112" s="209">
        <f>'[5]Resumen Magdalena M. Sept 2020'!I20</f>
        <v>0</v>
      </c>
      <c r="J112" s="253" t="str">
        <f>'[5]Resumen Magdalena M. Sept 2020'!J20</f>
        <v xml:space="preserve">CAIPI detenido a la espera de pago de cubicación. Avanzaron en pañetes, interiores y exteriores, molduras, cantos, trabajos eléctricos, entre otros. Tienen pendiente las modificaciones en la cocina, de acuerdo con los requerimientos del INAIPI. Sugerimos se revise la altura interior de la verja perimetral, ya que existe un desnivel que pone en riesgo la seguridad interna de los niños. </v>
      </c>
      <c r="K112" s="196" t="str">
        <f>'[5]Resumen Magdalena M. Sept 2020'!K20</f>
        <v>18.552348, -69.8687</v>
      </c>
      <c r="L112" s="158">
        <f>'[5]Resumen Magdalena M. Sept 2020'!L20</f>
        <v>0</v>
      </c>
      <c r="M112" s="19" t="str">
        <f>'[5]Resumen Magdalena M. Sept 2020'!M20</f>
        <v>Antonio Moreno Mateo</v>
      </c>
      <c r="N112" s="140" t="str">
        <f>'[5]Resumen Magdalena M. Sept 2020'!N20</f>
        <v>(829)882-0401</v>
      </c>
      <c r="O112" s="151">
        <f>'[5]Resumen Magdalena M. Sept 2020'!O20</f>
        <v>0</v>
      </c>
      <c r="P112" s="154" t="str">
        <f>'[5]Resumen Magdalena M. Sept 2020'!P20</f>
        <v>2DO</v>
      </c>
      <c r="Q112" s="152">
        <f>'[5]Resumen Magdalena M. Sept 2020'!Q20</f>
        <v>0.52</v>
      </c>
      <c r="R112" s="199"/>
    </row>
    <row r="113" spans="1:18" s="7" customFormat="1" ht="236.25" x14ac:dyDescent="0.25">
      <c r="A113" s="190">
        <f t="shared" si="1"/>
        <v>102</v>
      </c>
      <c r="B113" s="139" t="s">
        <v>281</v>
      </c>
      <c r="C113" s="137" t="s">
        <v>224</v>
      </c>
      <c r="D113" s="139" t="s">
        <v>295</v>
      </c>
      <c r="E113" s="139" t="s">
        <v>198</v>
      </c>
      <c r="F113" s="22" t="s">
        <v>301</v>
      </c>
      <c r="G113" s="139" t="s">
        <v>302</v>
      </c>
      <c r="H113" s="154" t="str">
        <f>'[5]Resumen Magdalena M. Sept 2020'!H21</f>
        <v>Detenido por planos</v>
      </c>
      <c r="I113" s="209">
        <f>'[5]Resumen Magdalena M. Sept 2020'!I21</f>
        <v>0</v>
      </c>
      <c r="J113" s="253" t="str">
        <f>'[5]Resumen Magdalena M. Sept 2020'!J21</f>
        <v>CAIPI detenido en espera de planos. En el mes de enero, los técnicos de MOPC y MINERD realizaron visita, a los fines de coordinar nueva propuesta de ubicación de conjunto en el terreno y del diseño de los muros de verja por las condiciones del terreno, además validación del movimiento de tierra realizado. Está detenido desde julio del 2019. Ya le entregaron la aprobación del muro, están en revisión de costos y pago de cubicación.</v>
      </c>
      <c r="K113" s="196" t="str">
        <f>'[5]Resumen Magdalena M. Sept 2020'!K21</f>
        <v>18.555570,-69.856876</v>
      </c>
      <c r="L113" s="158" t="str">
        <f>'[5]Resumen Magdalena M. Sept 2020'!L21</f>
        <v>2N</v>
      </c>
      <c r="M113" s="19" t="str">
        <f>'[5]Resumen Magdalena M. Sept 2020'!M21</f>
        <v>Mariana Brazoban Mañon</v>
      </c>
      <c r="N113" s="140" t="str">
        <f>'[5]Resumen Magdalena M. Sept 2020'!N21</f>
        <v>(829)521-6935</v>
      </c>
      <c r="O113" s="151" t="str">
        <f>'[5]Resumen Magdalena M. Sept 2020'!O21</f>
        <v>eimiaamariana@gmail.com</v>
      </c>
      <c r="P113" s="154" t="str">
        <f>'[5]Resumen Magdalena M. Sept 2020'!P21</f>
        <v>2DO</v>
      </c>
      <c r="Q113" s="152">
        <f>'[5]Resumen Magdalena M. Sept 2020'!Q21</f>
        <v>0.04</v>
      </c>
    </row>
    <row r="114" spans="1:18" s="7" customFormat="1" ht="47.25" x14ac:dyDescent="0.25">
      <c r="A114" s="190">
        <f t="shared" si="1"/>
        <v>103</v>
      </c>
      <c r="B114" s="290" t="s">
        <v>281</v>
      </c>
      <c r="C114" s="318" t="s">
        <v>224</v>
      </c>
      <c r="D114" s="290" t="s">
        <v>295</v>
      </c>
      <c r="E114" s="290" t="s">
        <v>198</v>
      </c>
      <c r="F114" s="290" t="s">
        <v>651</v>
      </c>
      <c r="G114" s="290" t="s">
        <v>652</v>
      </c>
      <c r="H114" s="154" t="str">
        <f>'[5]Resumen Magdalena M. Sept 2020'!H22</f>
        <v>Sin Iniciar</v>
      </c>
      <c r="I114" s="154" t="str">
        <f>'[5]Resumen Magdalena M. Sept 2020'!I22</f>
        <v xml:space="preserve">Sin Propuesta </v>
      </c>
      <c r="J114" s="253" t="str">
        <f>'[5]Resumen Magdalena M. Sept 2020'!J22</f>
        <v>Propuesta evaluada(18.599396,-69.840532)</v>
      </c>
      <c r="K114" s="196">
        <f>'[5]Resumen Magdalena M. Sept 2020'!K22</f>
        <v>0</v>
      </c>
      <c r="L114" s="158" t="str">
        <f>'[5]Resumen Magdalena M. Sept 2020'!L22</f>
        <v>1N</v>
      </c>
      <c r="M114" s="140" t="str">
        <f>'[5]Resumen Magdalena M. Sept 2020'!M22</f>
        <v>INGELCOND SRL/Antonio Feliciano Castillo2</v>
      </c>
      <c r="N114" s="140" t="str">
        <f>'[5]Resumen Magdalena M. Sept 2020'!N22</f>
        <v>(809)903-1858</v>
      </c>
      <c r="O114" s="151" t="str">
        <f>'[5]Resumen Magdalena M. Sept 2020'!O22</f>
        <v>castillo110611@gmail.com</v>
      </c>
      <c r="P114" s="154" t="str">
        <f>'[5]Resumen Magdalena M. Sept 2020'!P22</f>
        <v>2DO</v>
      </c>
      <c r="Q114" s="152">
        <f>'[5]Resumen Magdalena M. Sept 2020'!Q22</f>
        <v>0</v>
      </c>
    </row>
    <row r="115" spans="1:18" s="7" customFormat="1" ht="236.25" x14ac:dyDescent="0.25">
      <c r="A115" s="190">
        <f t="shared" si="1"/>
        <v>104</v>
      </c>
      <c r="B115" s="139" t="s">
        <v>281</v>
      </c>
      <c r="C115" s="137" t="s">
        <v>224</v>
      </c>
      <c r="D115" s="139" t="s">
        <v>295</v>
      </c>
      <c r="E115" s="139" t="s">
        <v>198</v>
      </c>
      <c r="F115" s="139" t="s">
        <v>303</v>
      </c>
      <c r="G115" s="139" t="s">
        <v>304</v>
      </c>
      <c r="H115" s="154" t="str">
        <f>'[5]Resumen Magdalena M. Sept 2020'!H23</f>
        <v>Detenido pago cubicación</v>
      </c>
      <c r="I115" s="209">
        <f>'[5]Resumen Magdalena M. Sept 2020'!I23</f>
        <v>0</v>
      </c>
      <c r="J115" s="253" t="str">
        <f>'[5]Resumen Magdalena M. Sept 2020'!J23</f>
        <v>CAIPI detenido a la espera de pago de cubicación. Presentan avances en pañetes interiores y exteriores, iniciaron con la base de pintura. Sigue pendiente eliminar muro de comedor por seguridad de los usuarios y queda pendiente realizar las modificaciones en la cocina, de acuerdo con los requerimientos del INAIPI. Este proyecto, así como Sabana Perdida 1 y Alcarrizos 1, ha sido afectado por la delincuencia (robos) en esta cuarentena.</v>
      </c>
      <c r="K115" s="196" t="str">
        <f>'[5]Resumen Magdalena M. Sept 2020'!K23</f>
        <v>18.553892, -69.851632</v>
      </c>
      <c r="L115" s="158">
        <f>'[5]Resumen Magdalena M. Sept 2020'!L23</f>
        <v>0</v>
      </c>
      <c r="M115" s="19" t="str">
        <f>'[5]Resumen Magdalena M. Sept 2020'!M23</f>
        <v>Ferlenny Zorrilla Gonzalez</v>
      </c>
      <c r="N115" s="140" t="str">
        <f>'[5]Resumen Magdalena M. Sept 2020'!N23</f>
        <v>(809)879--1536</v>
      </c>
      <c r="O115" s="151" t="str">
        <f>'[5]Resumen Magdalena M. Sept 2020'!O23</f>
        <v>zorrilla1984@gmail.com</v>
      </c>
      <c r="P115" s="154" t="str">
        <f>'[5]Resumen Magdalena M. Sept 2020'!P23</f>
        <v>2DO</v>
      </c>
      <c r="Q115" s="152">
        <f>'[5]Resumen Magdalena M. Sept 2020'!Q23</f>
        <v>0.56999999999999995</v>
      </c>
    </row>
    <row r="116" spans="1:18" s="7" customFormat="1" ht="220.5" x14ac:dyDescent="0.25">
      <c r="A116" s="190">
        <f t="shared" si="1"/>
        <v>105</v>
      </c>
      <c r="B116" s="139" t="s">
        <v>281</v>
      </c>
      <c r="C116" s="137" t="s">
        <v>224</v>
      </c>
      <c r="D116" s="145" t="s">
        <v>587</v>
      </c>
      <c r="E116" s="139" t="s">
        <v>198</v>
      </c>
      <c r="F116" s="145" t="s">
        <v>588</v>
      </c>
      <c r="G116" s="145" t="s">
        <v>600</v>
      </c>
      <c r="H116" s="145" t="str">
        <f>'[5]Resumen Magdalena M. Sept 2020'!H24</f>
        <v>Detenido pago cubicación</v>
      </c>
      <c r="I116" s="209">
        <f>'[5]Resumen Magdalena M. Sept 2020'!I24</f>
        <v>0</v>
      </c>
      <c r="J116" s="253" t="str">
        <f>'[5]Resumen Magdalena M. Sept 2020'!J24</f>
        <v xml:space="preserve">CAIPI detenido a la espera de pago de cubicación. Este proyecto avanzó   en los trabajos de movimiento de tierra, pero aún no terminan, esperan recursos. Estos trabajos fueron iniciados a mediados del mes diciembre 2019, realizaron la demolición de la estructura existente, tiene planos constructivos e instalaron el letrero.
</v>
      </c>
      <c r="K116" s="159" t="str">
        <f>'[5]Resumen Magdalena M. Sept 2020'!K24</f>
        <v>18.542116, -69.859443</v>
      </c>
      <c r="L116" s="159" t="str">
        <f>'[5]Resumen Magdalena M. Sept 2020'!L24</f>
        <v>2N</v>
      </c>
      <c r="M116" s="19" t="str">
        <f>'[5]Resumen Magdalena M. Sept 2020'!M24</f>
        <v>Ramona Jimenez Carbonell</v>
      </c>
      <c r="N116" s="140" t="str">
        <f>'[5]Resumen Magdalena M. Sept 2020'!N24</f>
        <v>(809)249-9760</v>
      </c>
      <c r="O116" s="151" t="str">
        <f>'[5]Resumen Magdalena M. Sept 2020'!O24</f>
        <v>ing_ramonajimenez@hotmail.com</v>
      </c>
      <c r="P116" s="151" t="str">
        <f>'[5]Resumen Magdalena M. Sept 2020'!P24</f>
        <v>2DO</v>
      </c>
      <c r="Q116" s="152">
        <f>'[5]Resumen Magdalena M. Sept 2020'!Q24</f>
        <v>0.05</v>
      </c>
    </row>
    <row r="117" spans="1:18" s="7" customFormat="1" ht="47.25" x14ac:dyDescent="0.25">
      <c r="A117" s="190">
        <f t="shared" si="1"/>
        <v>106</v>
      </c>
      <c r="B117" s="139" t="s">
        <v>281</v>
      </c>
      <c r="C117" s="137" t="s">
        <v>224</v>
      </c>
      <c r="D117" s="139" t="s">
        <v>295</v>
      </c>
      <c r="E117" s="139" t="s">
        <v>198</v>
      </c>
      <c r="F117" s="139" t="s">
        <v>305</v>
      </c>
      <c r="G117" s="139" t="s">
        <v>306</v>
      </c>
      <c r="H117" s="154" t="str">
        <f>'[5]Resumen Magdalena M. Sept 2020'!H25</f>
        <v>Inaugurado</v>
      </c>
      <c r="I117" s="209">
        <f>'[5]Resumen Magdalena M. Sept 2020'!I25</f>
        <v>0</v>
      </c>
      <c r="J117" s="253">
        <f>'[5]Resumen Magdalena M. Sept 2020'!J25</f>
        <v>0</v>
      </c>
      <c r="K117" s="196">
        <f>'[5]Resumen Magdalena M. Sept 2020'!K25</f>
        <v>0</v>
      </c>
      <c r="L117" s="158" t="str">
        <f>'[5]Resumen Magdalena M. Sept 2020'!L25</f>
        <v>1N</v>
      </c>
      <c r="M117" s="19" t="str">
        <f>'[5]Resumen Magdalena M. Sept 2020'!M25</f>
        <v>Ma. Alt. Arias Figuereo de Hiciano</v>
      </c>
      <c r="N117" s="140" t="str">
        <f>'[5]Resumen Magdalena M. Sept 2020'!N25</f>
        <v>809-923-0968</v>
      </c>
      <c r="O117" s="151" t="str">
        <f>'[5]Resumen Magdalena M. Sept 2020'!O25</f>
        <v>ing_maria2312@hotmail.com</v>
      </c>
      <c r="P117" s="154" t="str">
        <f>'[5]Resumen Magdalena M. Sept 2020'!P25</f>
        <v>1ER</v>
      </c>
      <c r="Q117" s="152">
        <f>'[5]Resumen Magdalena M. Sept 2020'!Q25</f>
        <v>1</v>
      </c>
    </row>
    <row r="118" spans="1:18" s="7" customFormat="1" ht="189" x14ac:dyDescent="0.25">
      <c r="A118" s="190">
        <f t="shared" si="1"/>
        <v>107</v>
      </c>
      <c r="B118" s="139" t="s">
        <v>281</v>
      </c>
      <c r="C118" s="137" t="s">
        <v>224</v>
      </c>
      <c r="D118" s="139" t="s">
        <v>295</v>
      </c>
      <c r="E118" s="139" t="s">
        <v>198</v>
      </c>
      <c r="F118" s="139" t="s">
        <v>307</v>
      </c>
      <c r="G118" s="139" t="s">
        <v>308</v>
      </c>
      <c r="H118" s="154" t="str">
        <f>'[5]Resumen Magdalena M. Sept 2020'!H26</f>
        <v>Detenido pago cubicación</v>
      </c>
      <c r="I118" s="209">
        <f>'[5]Resumen Magdalena M. Sept 2020'!I26</f>
        <v>0</v>
      </c>
      <c r="J118" s="253" t="str">
        <f>'[5]Resumen Magdalena M. Sept 2020'!J26</f>
        <v xml:space="preserve">CAIPI detenido en espera de pago de cubicación.   En la última semana de enero la brigada de MOPC, realizo visita al proyecto a realizar levantamiento del terreno y validar movimiento de tierra y trabajar en diseños estructurales. Esta validación fue entregada a supervisión para procesar cubicación, el cual está en proceso. Detenido desde el mes de abril del año 2019.                                                   </v>
      </c>
      <c r="K118" s="196" t="str">
        <f>'[5]Resumen Magdalena M. Sept 2020'!K26</f>
        <v>18.524354,-69.917088</v>
      </c>
      <c r="L118" s="158">
        <f>'[5]Resumen Magdalena M. Sept 2020'!L26</f>
        <v>0</v>
      </c>
      <c r="M118" s="19" t="str">
        <f>'[5]Resumen Magdalena M. Sept 2020'!M26</f>
        <v>Juan Oscar de Peña García</v>
      </c>
      <c r="N118" s="140" t="str">
        <f>'[5]Resumen Magdalena M. Sept 2020'!N26</f>
        <v>809-707-0882 / 809-483-1560 / 809-598-1919</v>
      </c>
      <c r="O118" s="151" t="str">
        <f>'[5]Resumen Magdalena M. Sept 2020'!O26</f>
        <v>oscar.de.peña@gmail.com</v>
      </c>
      <c r="P118" s="154" t="str">
        <f>'[5]Resumen Magdalena M. Sept 2020'!P26</f>
        <v>1ER</v>
      </c>
      <c r="Q118" s="152">
        <f>'[5]Resumen Magdalena M. Sept 2020'!Q26</f>
        <v>0.03</v>
      </c>
    </row>
    <row r="119" spans="1:18" s="7" customFormat="1" ht="157.5" x14ac:dyDescent="0.25">
      <c r="A119" s="190">
        <f t="shared" si="1"/>
        <v>108</v>
      </c>
      <c r="B119" s="139" t="s">
        <v>281</v>
      </c>
      <c r="C119" s="137" t="s">
        <v>224</v>
      </c>
      <c r="D119" s="139" t="s">
        <v>295</v>
      </c>
      <c r="E119" s="139" t="s">
        <v>198</v>
      </c>
      <c r="F119" s="139" t="s">
        <v>309</v>
      </c>
      <c r="G119" s="139" t="s">
        <v>310</v>
      </c>
      <c r="H119" s="200" t="str">
        <f>'[5]Resumen Magdalena M. Sept 2020'!H27</f>
        <v>Detenido</v>
      </c>
      <c r="I119" s="154">
        <f>'[5]Resumen Magdalena M. Sept 2020'!I27</f>
        <v>0</v>
      </c>
      <c r="J119" s="261" t="str">
        <f>'[5]Resumen Magdalena M. Sept 2020'!J27</f>
        <v xml:space="preserve">CAIPI detenido.  El proceso constructivo, en espera de revisión de precios y presupuesto; con avances en la construcción de la verja perimetral, caseta de almacén, replanteo de los módulos, y en la preparación de 2 pozos.
</v>
      </c>
      <c r="K119" s="196" t="str">
        <f>'[5]Resumen Magdalena M. Sept 2020'!K27</f>
        <v>18.53748293,-69.9399991</v>
      </c>
      <c r="L119" s="158" t="str">
        <f>'[5]Resumen Magdalena M. Sept 2020'!L27</f>
        <v>1N</v>
      </c>
      <c r="M119" s="19" t="str">
        <f>'[5]Resumen Magdalena M. Sept 2020'!M27</f>
        <v>Pedro Pablo Toribio Lantigua</v>
      </c>
      <c r="N119" s="140" t="str">
        <f>'[5]Resumen Magdalena M. Sept 2020'!N27</f>
        <v>(809)696-8105</v>
      </c>
      <c r="O119" s="151" t="str">
        <f>'[5]Resumen Magdalena M. Sept 2020'!O27</f>
        <v>pptorilan@hotmail.com</v>
      </c>
      <c r="P119" s="154" t="str">
        <f>'[5]Resumen Magdalena M. Sept 2020'!P27</f>
        <v>2DO</v>
      </c>
      <c r="Q119" s="152">
        <f>'[5]Resumen Magdalena M. Sept 2020'!Q27</f>
        <v>0.12</v>
      </c>
    </row>
    <row r="120" spans="1:18" s="7" customFormat="1" ht="189" x14ac:dyDescent="0.25">
      <c r="A120" s="190">
        <f t="shared" si="1"/>
        <v>109</v>
      </c>
      <c r="B120" s="139" t="s">
        <v>281</v>
      </c>
      <c r="C120" s="137" t="s">
        <v>224</v>
      </c>
      <c r="D120" s="139" t="s">
        <v>295</v>
      </c>
      <c r="E120" s="139" t="s">
        <v>198</v>
      </c>
      <c r="F120" s="139" t="s">
        <v>311</v>
      </c>
      <c r="G120" s="139" t="s">
        <v>312</v>
      </c>
      <c r="H120" s="154" t="str">
        <f>'[5]Resumen Magdalena M. Sept 2020'!H28</f>
        <v>Detenido</v>
      </c>
      <c r="I120" s="154">
        <f>'[5]Resumen Magdalena M. Sept 2020'!I28</f>
        <v>0</v>
      </c>
      <c r="J120" s="261" t="str">
        <f>'[5]Resumen Magdalena M. Sept 2020'!J28</f>
        <v>CAIPI Detenido.  Esta construcción aún no reinicia luego de la cuarentena por COVID 19, están a la espera de presupuesto de muro que se levantará en verja, por las condiciones del terreno y por la fuerte pendiente y desnivel colindante (muy bajo). Se realizaron los planos, están a la espera del presupuesto y precios desde el mes de mayo 2020.</v>
      </c>
      <c r="K120" s="196" t="str">
        <f>'[5]Resumen Magdalena M. Sept 2020'!K28</f>
        <v>18.528063,-69.945425</v>
      </c>
      <c r="L120" s="158" t="str">
        <f>'[5]Resumen Magdalena M. Sept 2020'!L28</f>
        <v>1N</v>
      </c>
      <c r="M120" s="19" t="str">
        <f>'[5]Resumen Magdalena M. Sept 2020'!M28</f>
        <v>Wilky Jhonny Tejeda Melo</v>
      </c>
      <c r="N120" s="140" t="str">
        <f>'[5]Resumen Magdalena M. Sept 2020'!N28</f>
        <v>(809)330-0601</v>
      </c>
      <c r="O120" s="151" t="str">
        <f>'[5]Resumen Magdalena M. Sept 2020'!O28</f>
        <v>wjtejeda@hotmail.com</v>
      </c>
      <c r="P120" s="154" t="str">
        <f>'[5]Resumen Magdalena M. Sept 2020'!P28</f>
        <v>2DO</v>
      </c>
      <c r="Q120" s="152">
        <f>'[5]Resumen Magdalena M. Sept 2020'!Q28</f>
        <v>0.11</v>
      </c>
    </row>
    <row r="121" spans="1:18" s="7" customFormat="1" ht="220.5" x14ac:dyDescent="0.25">
      <c r="A121" s="190">
        <f t="shared" si="1"/>
        <v>110</v>
      </c>
      <c r="B121" s="139" t="s">
        <v>281</v>
      </c>
      <c r="C121" s="137" t="s">
        <v>224</v>
      </c>
      <c r="D121" s="139" t="s">
        <v>295</v>
      </c>
      <c r="E121" s="139" t="s">
        <v>198</v>
      </c>
      <c r="F121" s="139" t="s">
        <v>313</v>
      </c>
      <c r="G121" s="139" t="s">
        <v>314</v>
      </c>
      <c r="H121" s="154" t="str">
        <f>'[5]Resumen Magdalena M. Sept 2020'!H29</f>
        <v>Detenido por planos</v>
      </c>
      <c r="I121" s="209">
        <f>'[5]Resumen Magdalena M. Sept 2020'!I29</f>
        <v>0</v>
      </c>
      <c r="J121" s="253" t="str">
        <f>'[5]Resumen Magdalena M. Sept 2020'!J29</f>
        <v>CAIPI detenido por planos. Continúan a la espera de terminación de los diseños estructurales e hidráulicos. La parte posterior del solar fue intervenida por el ayuntamiento con unos trabajos hidráulicos, que afectaban a los moradores del sector. Realizaron refracción sísmica en nov. 2017 y aún están trabajando en el diseños estructurales e hidráulicos, en los resultados de la refracción sísmica y los estudios de suelos.</v>
      </c>
      <c r="K121" s="159" t="str">
        <f>'[5]Resumen Magdalena M. Sept 2020'!K29</f>
        <v>18.539842, -69.904788</v>
      </c>
      <c r="L121" s="154" t="str">
        <f>'[5]Resumen Magdalena M. Sept 2020'!L29</f>
        <v>Un nivel</v>
      </c>
      <c r="M121" s="19" t="str">
        <f>'[5]Resumen Magdalena M. Sept 2020'!M29</f>
        <v>Mysette Dolores Batista Gómez de C.</v>
      </c>
      <c r="N121" s="140" t="str">
        <f>'[5]Resumen Magdalena M. Sept 2020'!N29</f>
        <v>809-613-4482</v>
      </c>
      <c r="O121" s="151" t="str">
        <f>'[5]Resumen Magdalena M. Sept 2020'!O29</f>
        <v>mydobago@hotmail.com</v>
      </c>
      <c r="P121" s="154" t="str">
        <f>'[5]Resumen Magdalena M. Sept 2020'!P29</f>
        <v>1ER</v>
      </c>
      <c r="Q121" s="152">
        <f>'[5]Resumen Magdalena M. Sept 2020'!Q29</f>
        <v>0</v>
      </c>
    </row>
    <row r="122" spans="1:18" s="7" customFormat="1" ht="267.75" x14ac:dyDescent="0.25">
      <c r="A122" s="190">
        <f t="shared" si="1"/>
        <v>111</v>
      </c>
      <c r="B122" s="139" t="s">
        <v>281</v>
      </c>
      <c r="C122" s="137" t="s">
        <v>224</v>
      </c>
      <c r="D122" s="139" t="s">
        <v>295</v>
      </c>
      <c r="E122" s="139" t="s">
        <v>198</v>
      </c>
      <c r="F122" s="139" t="s">
        <v>315</v>
      </c>
      <c r="G122" s="139" t="s">
        <v>653</v>
      </c>
      <c r="H122" s="154" t="str">
        <f>'[5]Resumen Magdalena M. Sept 2020'!H30</f>
        <v>Detenido</v>
      </c>
      <c r="I122" s="209">
        <f>'[5]Resumen Magdalena M. Sept 2020'!I30</f>
        <v>0</v>
      </c>
      <c r="J122" s="253" t="str">
        <f>'[5]Resumen Magdalena M. Sept 2020'!J30</f>
        <v xml:space="preserve">CAIPI detenido. Está a la espera de respuesta de reporte de movimiento de tierra revisado en varias ocasiones; en el mes de enero 2020, los técnicos de MOPC realizaron levantamiento de terreno a los fines de revisar la volumetría del movimiento de tierra, realizado desde noviembre 2018 y dichos técnicos trabajaron en los nuevos diseños estructurales y de muro de contención, están revisando precios, presupuesto y cubicaciones. Este terreno y las casas colindantes tienen peligro de deslizamiento.  </v>
      </c>
      <c r="K122" s="159" t="str">
        <f>'[5]Resumen Magdalena M. Sept 2020'!K30</f>
        <v xml:space="preserve">18.530422,-69.9084550 </v>
      </c>
      <c r="L122" s="154" t="str">
        <f>'[5]Resumen Magdalena M. Sept 2020'!L30</f>
        <v>Un nivel</v>
      </c>
      <c r="M122" s="19" t="str">
        <f>'[5]Resumen Magdalena M. Sept 2020'!M30</f>
        <v>SEMUROSA SUPLISERVIC CONSULT, S.R.L.</v>
      </c>
      <c r="N122" s="140" t="str">
        <f>'[5]Resumen Magdalena M. Sept 2020'!N30</f>
        <v>849-629-9524 / 829-279-4004</v>
      </c>
      <c r="O122" s="151" t="str">
        <f>'[5]Resumen Magdalena M. Sept 2020'!O30</f>
        <v>josebernardocid@gmail.com</v>
      </c>
      <c r="P122" s="154" t="str">
        <f>'[5]Resumen Magdalena M. Sept 2020'!P30</f>
        <v>1ER</v>
      </c>
      <c r="Q122" s="152">
        <f>'[5]Resumen Magdalena M. Sept 2020'!Q30</f>
        <v>0.04</v>
      </c>
    </row>
    <row r="123" spans="1:18" s="7" customFormat="1" ht="31.5" x14ac:dyDescent="0.25">
      <c r="A123" s="190">
        <f t="shared" si="1"/>
        <v>112</v>
      </c>
      <c r="B123" s="139" t="s">
        <v>281</v>
      </c>
      <c r="C123" s="137" t="s">
        <v>224</v>
      </c>
      <c r="D123" s="139" t="s">
        <v>295</v>
      </c>
      <c r="E123" s="139" t="s">
        <v>198</v>
      </c>
      <c r="F123" s="139" t="s">
        <v>313</v>
      </c>
      <c r="G123" s="139" t="s">
        <v>316</v>
      </c>
      <c r="H123" s="154" t="str">
        <f>'[5]Resumen Magdalena M. Sept 2020'!H31</f>
        <v>Inaugurado</v>
      </c>
      <c r="I123" s="209">
        <f>'[5]Resumen Magdalena M. Sept 2020'!I31</f>
        <v>0</v>
      </c>
      <c r="J123" s="253" t="str">
        <f>'[5]Resumen Magdalena M. Sept 2020'!J31</f>
        <v>CAIPI INAUGURADO EL 25 DE JUNIO 2019</v>
      </c>
      <c r="K123" s="159" t="str">
        <f>'[5]Resumen Magdalena M. Sept 2020'!K31</f>
        <v>18.581453, -69.927731</v>
      </c>
      <c r="L123" s="154" t="str">
        <f>'[5]Resumen Magdalena M. Sept 2020'!L31</f>
        <v>1N</v>
      </c>
      <c r="M123" s="19" t="str">
        <f>'[5]Resumen Magdalena M. Sept 2020'!M31</f>
        <v>Jorge Abel Ureña Collado</v>
      </c>
      <c r="N123" s="140" t="str">
        <f>'[5]Resumen Magdalena M. Sept 2020'!N31</f>
        <v>(829)801-6576</v>
      </c>
      <c r="O123" s="151" t="str">
        <f>'[5]Resumen Magdalena M. Sept 2020'!O31</f>
        <v>collado23@gmail.com</v>
      </c>
      <c r="P123" s="154" t="str">
        <f>'[5]Resumen Magdalena M. Sept 2020'!P31</f>
        <v>2DO</v>
      </c>
      <c r="Q123" s="152">
        <f>'[5]Resumen Magdalena M. Sept 2020'!Q31</f>
        <v>1</v>
      </c>
    </row>
    <row r="124" spans="1:18" s="7" customFormat="1" ht="283.5" x14ac:dyDescent="0.25">
      <c r="A124" s="190">
        <f t="shared" si="1"/>
        <v>113</v>
      </c>
      <c r="B124" s="139" t="s">
        <v>281</v>
      </c>
      <c r="C124" s="137" t="s">
        <v>224</v>
      </c>
      <c r="D124" s="139" t="s">
        <v>295</v>
      </c>
      <c r="E124" s="139" t="s">
        <v>198</v>
      </c>
      <c r="F124" s="139" t="s">
        <v>315</v>
      </c>
      <c r="G124" s="139" t="s">
        <v>317</v>
      </c>
      <c r="H124" s="154" t="str">
        <f>'[5]Resumen Magdalena M. Sept 2020'!H32</f>
        <v>Detenido</v>
      </c>
      <c r="I124" s="209">
        <f>'[5]Resumen Magdalena M. Sept 2020'!I32</f>
        <v>0</v>
      </c>
      <c r="J124" s="253" t="str">
        <f>'[5]Resumen Magdalena M. Sept 2020'!J32</f>
        <v>CAIPI Detenido. En proceso de revisión de trabajos y cubicaciones. Detenido desde el mes de octubre del 2019. En la 3era semana de noviembre visitamos el CAIPI en coordinación con el supervisor de INAIPI, el cual estaba detenido y en dicha visita se realizó levantamiento de algunas observaciones señaladas (tejas, pañetes, séptico, losa pasarela entre otros), a los fines de que estas sean corregidas. Aún pendiente la modificación y readecuación de cocinas conforme a requerimiento de INAIPI.</v>
      </c>
      <c r="K124" s="159" t="str">
        <f>'[5]Resumen Magdalena M. Sept 2020'!K32</f>
        <v>18.577159, -69.923814</v>
      </c>
      <c r="L124" s="154" t="str">
        <f>'[5]Resumen Magdalena M. Sept 2020'!L32</f>
        <v>1N</v>
      </c>
      <c r="M124" s="27" t="str">
        <f>'[5]Resumen Magdalena M. Sept 2020'!M32</f>
        <v>Wellington Apolinar Ramirez de Leon</v>
      </c>
      <c r="N124" s="140" t="str">
        <f>'[5]Resumen Magdalena M. Sept 2020'!N32</f>
        <v>(829)919-7230</v>
      </c>
      <c r="O124" s="151" t="str">
        <f>'[5]Resumen Magdalena M. Sept 2020'!O32</f>
        <v>wellingtonramirez_@hotmail.com</v>
      </c>
      <c r="P124" s="154" t="str">
        <f>'[5]Resumen Magdalena M. Sept 2020'!P32</f>
        <v>2DO</v>
      </c>
      <c r="Q124" s="152">
        <f>'[5]Resumen Magdalena M. Sept 2020'!Q32</f>
        <v>0.66</v>
      </c>
    </row>
    <row r="125" spans="1:18" s="7" customFormat="1" ht="157.5" x14ac:dyDescent="0.25">
      <c r="A125" s="190">
        <f t="shared" si="1"/>
        <v>114</v>
      </c>
      <c r="B125" s="139" t="s">
        <v>281</v>
      </c>
      <c r="C125" s="137" t="s">
        <v>224</v>
      </c>
      <c r="D125" s="139" t="s">
        <v>295</v>
      </c>
      <c r="E125" s="139" t="s">
        <v>198</v>
      </c>
      <c r="F125" s="139" t="s">
        <v>318</v>
      </c>
      <c r="G125" s="139" t="s">
        <v>319</v>
      </c>
      <c r="H125" s="154" t="str">
        <f>'[5]Resumen Magdalena M. Sept 2020'!H33</f>
        <v>Detenido</v>
      </c>
      <c r="I125" s="209">
        <f>'[5]Resumen Magdalena M. Sept 2020'!I33</f>
        <v>0</v>
      </c>
      <c r="J125" s="253" t="str">
        <f>'[5]Resumen Magdalena M. Sept 2020'!J33</f>
        <v>CAIPI detenido. Están en proceso de levantamiento topográfico en coordinación con MOPC, para la ubicación de la planta de conjunto para la tala de árboles y diseño de muro que colinda con la ribera del rio. Este proyecto cuenta con la autorización o permisos de Medio Ambiente para iniciar la construcción.</v>
      </c>
      <c r="K125" s="159" t="str">
        <f>'[5]Resumen Magdalena M. Sept 2020'!K33</f>
        <v>18.521256, -69.898024</v>
      </c>
      <c r="L125" s="154">
        <f>'[5]Resumen Magdalena M. Sept 2020'!L33</f>
        <v>0</v>
      </c>
      <c r="M125" s="19" t="str">
        <f>'[5]Resumen Magdalena M. Sept 2020'!M33</f>
        <v>Jonathan Gilberto Brito Hernandez</v>
      </c>
      <c r="N125" s="140" t="str">
        <f>'[5]Resumen Magdalena M. Sept 2020'!N33</f>
        <v>(849)353-7007</v>
      </c>
      <c r="O125" s="151" t="str">
        <f>'[5]Resumen Magdalena M. Sept 2020'!O33</f>
        <v>jonathanbrito1978@hotmail.com</v>
      </c>
      <c r="P125" s="154" t="str">
        <f>'[5]Resumen Magdalena M. Sept 2020'!P33</f>
        <v>2DO</v>
      </c>
      <c r="Q125" s="152">
        <f>'[5]Resumen Magdalena M. Sept 2020'!Q33</f>
        <v>0</v>
      </c>
      <c r="R125" s="199"/>
    </row>
    <row r="126" spans="1:18" s="7" customFormat="1" ht="94.5" x14ac:dyDescent="0.25">
      <c r="A126" s="190">
        <f t="shared" si="1"/>
        <v>115</v>
      </c>
      <c r="B126" s="139" t="s">
        <v>281</v>
      </c>
      <c r="C126" s="137" t="s">
        <v>224</v>
      </c>
      <c r="D126" s="139" t="s">
        <v>295</v>
      </c>
      <c r="E126" s="139" t="s">
        <v>198</v>
      </c>
      <c r="F126" s="139" t="s">
        <v>320</v>
      </c>
      <c r="G126" s="139" t="s">
        <v>321</v>
      </c>
      <c r="H126" s="154" t="str">
        <f>'[5]Resumen Magdalena M. Sept 2020'!H34</f>
        <v>Detenido</v>
      </c>
      <c r="I126" s="209">
        <f>'[5]Resumen Magdalena M. Sept 2020'!I34</f>
        <v>0</v>
      </c>
      <c r="J126" s="253" t="str">
        <f>'[5]Resumen Magdalena M. Sept 2020'!J34</f>
        <v>CAIPI   Detenido.  En este proyecto se realizó movimiento de tierra, está en espera proceso de validación de este. El contratista recibió los planos del nuevo diseño estructural.</v>
      </c>
      <c r="K126" s="159" t="str">
        <f>'[5]Resumen Magdalena M. Sept 2020'!K34</f>
        <v>18.567245, -69.911026</v>
      </c>
      <c r="L126" s="154" t="str">
        <f>'[5]Resumen Magdalena M. Sept 2020'!L34</f>
        <v>1N</v>
      </c>
      <c r="M126" s="19" t="str">
        <f>'[5]Resumen Magdalena M. Sept 2020'!M34</f>
        <v>Const Civiles &amp; Serv. SRL/Anibal Rivera</v>
      </c>
      <c r="N126" s="140" t="str">
        <f>'[5]Resumen Magdalena M. Sept 2020'!N34</f>
        <v>(849)360-5083</v>
      </c>
      <c r="O126" s="151" t="str">
        <f>'[5]Resumen Magdalena M. Sept 2020'!O34</f>
        <v>anibal256@hotmail.com</v>
      </c>
      <c r="P126" s="154" t="str">
        <f>'[5]Resumen Magdalena M. Sept 2020'!P34</f>
        <v>2DO</v>
      </c>
      <c r="Q126" s="152">
        <f>'[5]Resumen Magdalena M. Sept 2020'!Q34</f>
        <v>0.05</v>
      </c>
    </row>
    <row r="127" spans="1:18" s="7" customFormat="1" ht="47.25" x14ac:dyDescent="0.25">
      <c r="A127" s="190">
        <f t="shared" si="1"/>
        <v>116</v>
      </c>
      <c r="B127" s="145" t="s">
        <v>281</v>
      </c>
      <c r="C127" s="137" t="s">
        <v>224</v>
      </c>
      <c r="D127" s="145" t="s">
        <v>295</v>
      </c>
      <c r="E127" s="145" t="s">
        <v>198</v>
      </c>
      <c r="F127" s="220" t="s">
        <v>322</v>
      </c>
      <c r="G127" s="145" t="s">
        <v>323</v>
      </c>
      <c r="H127" s="155" t="str">
        <f>'[5]Resumen Magdalena M. Sept 2020'!H35</f>
        <v>Inaugurado</v>
      </c>
      <c r="I127" s="212">
        <f>'[5]Resumen Magdalena M. Sept 2020'!I35</f>
        <v>0</v>
      </c>
      <c r="J127" s="252">
        <f>'[5]Resumen Magdalena M. Sept 2020'!J35</f>
        <v>0</v>
      </c>
      <c r="K127" s="188">
        <f>'[5]Resumen Magdalena M. Sept 2020'!K35</f>
        <v>0</v>
      </c>
      <c r="L127" s="155">
        <f>'[5]Resumen Magdalena M. Sept 2020'!L35</f>
        <v>0</v>
      </c>
      <c r="M127" s="19" t="str">
        <f>'[5]Resumen Magdalena M. Sept 2020'!M35</f>
        <v>JOPSA &amp; Asoc. / Ing. José Polanco</v>
      </c>
      <c r="N127" s="155">
        <f>'[5]Resumen Magdalena M. Sept 2020'!N35</f>
        <v>0</v>
      </c>
      <c r="O127" s="155">
        <f>'[5]Resumen Magdalena M. Sept 2020'!O35</f>
        <v>0</v>
      </c>
      <c r="P127" s="155" t="str">
        <f>'[5]Resumen Magdalena M. Sept 2020'!P35</f>
        <v>1ER</v>
      </c>
      <c r="Q127" s="147">
        <f>'[5]Resumen Magdalena M. Sept 2020'!Q35</f>
        <v>1</v>
      </c>
    </row>
    <row r="128" spans="1:18" s="7" customFormat="1" ht="126" x14ac:dyDescent="0.25">
      <c r="A128" s="190">
        <f t="shared" si="1"/>
        <v>117</v>
      </c>
      <c r="B128" s="137" t="s">
        <v>281</v>
      </c>
      <c r="C128" s="137" t="s">
        <v>224</v>
      </c>
      <c r="D128" s="137" t="s">
        <v>324</v>
      </c>
      <c r="E128" s="137" t="s">
        <v>198</v>
      </c>
      <c r="F128" s="137" t="s">
        <v>325</v>
      </c>
      <c r="G128" s="137" t="s">
        <v>325</v>
      </c>
      <c r="H128" s="153" t="str">
        <f>'[5]Resumen Magdalena M. Sept 2020'!H36</f>
        <v>Detenido pago cubicación</v>
      </c>
      <c r="I128" s="213">
        <f>'[5]Resumen Magdalena M. Sept 2020'!I36</f>
        <v>0</v>
      </c>
      <c r="J128" s="251" t="str">
        <f>'[5]Resumen Magdalena M. Sept 2020'!J36</f>
        <v>CAIPI detenido por cubicación.  Avanzaron en el vaciado de rampas para discapacitados y en la colocación de blocks del segundo nivel. El contratista espera pago y revisión de precios que han aumentado post-pandemia.</v>
      </c>
      <c r="K128" s="195" t="str">
        <f>'[5]Resumen Magdalena M. Sept 2020'!K36</f>
        <v>18.492061, -70.004624</v>
      </c>
      <c r="L128" s="153" t="str">
        <f>'[5]Resumen Magdalena M. Sept 2020'!L36</f>
        <v>2N</v>
      </c>
      <c r="M128" s="314" t="str">
        <f>'[5]Resumen Magdalena M. Sept 2020'!M36</f>
        <v>Braulio Jose Matos Reyes</v>
      </c>
      <c r="N128" s="148" t="str">
        <f>'[5]Resumen Magdalena M. Sept 2020'!N36</f>
        <v xml:space="preserve"> (829)874-9337</v>
      </c>
      <c r="O128" s="148" t="str">
        <f>'[5]Resumen Magdalena M. Sept 2020'!O36</f>
        <v>brauliojmr@gmail.com</v>
      </c>
      <c r="P128" s="153" t="str">
        <f>'[5]Resumen Magdalena M. Sept 2020'!P36</f>
        <v>2DO</v>
      </c>
      <c r="Q128" s="149">
        <f>'[5]Resumen Magdalena M. Sept 2020'!Q36</f>
        <v>0.34</v>
      </c>
    </row>
    <row r="129" spans="1:17" s="7" customFormat="1" ht="183.75" customHeight="1" x14ac:dyDescent="0.25">
      <c r="A129" s="190">
        <f t="shared" si="1"/>
        <v>118</v>
      </c>
      <c r="B129" s="139" t="s">
        <v>281</v>
      </c>
      <c r="C129" s="137" t="s">
        <v>224</v>
      </c>
      <c r="D129" s="139" t="s">
        <v>324</v>
      </c>
      <c r="E129" s="139" t="s">
        <v>198</v>
      </c>
      <c r="F129" s="139" t="s">
        <v>326</v>
      </c>
      <c r="G129" s="139" t="s">
        <v>327</v>
      </c>
      <c r="H129" s="154" t="str">
        <f>'[5]Resumen Magdalena M. Sept 2020'!H37</f>
        <v>Detenido pago cubicación</v>
      </c>
      <c r="I129" s="209">
        <f>'[5]Resumen Magdalena M. Sept 2020'!I37</f>
        <v>0</v>
      </c>
      <c r="J129" s="261" t="str">
        <f>'[5]Resumen Magdalena M. Sept 2020'!J37</f>
        <v>CAIPI detenido por pago de cubicación. Antes de detenerse avanzó en la colocación de blocks y preparación de columnas en primer nivel y el inicio de las rampas que comunicaran al segundo nivel.</v>
      </c>
      <c r="K129" s="154" t="str">
        <f>'[5]Resumen Magdalena M. Sept 2020'!K37</f>
        <v>18.4795940,-69.9835180</v>
      </c>
      <c r="L129" s="154" t="str">
        <f>'[5]Resumen Magdalena M. Sept 2020'!L37</f>
        <v>2N</v>
      </c>
      <c r="M129" s="27" t="str">
        <f>'[5]Resumen Magdalena M. Sept 2020'!M37</f>
        <v>Antonia Alexandra Caceres Gonzalez</v>
      </c>
      <c r="N129" s="151" t="str">
        <f>'[5]Resumen Magdalena M. Sept 2020'!N37</f>
        <v>(829)986-9779</v>
      </c>
      <c r="O129" s="151" t="str">
        <f>'[5]Resumen Magdalena M. Sept 2020'!O37</f>
        <v>caceresalexandra@yahoo.com</v>
      </c>
      <c r="P129" s="154" t="str">
        <f>'[5]Resumen Magdalena M. Sept 2020'!P37</f>
        <v>2DO</v>
      </c>
      <c r="Q129" s="152">
        <f>'[5]Resumen Magdalena M. Sept 2020'!Q37</f>
        <v>0.13</v>
      </c>
    </row>
    <row r="130" spans="1:17" s="7" customFormat="1" ht="78.75" x14ac:dyDescent="0.25">
      <c r="A130" s="190">
        <f t="shared" si="1"/>
        <v>119</v>
      </c>
      <c r="B130" s="290" t="s">
        <v>603</v>
      </c>
      <c r="C130" s="290" t="s">
        <v>338</v>
      </c>
      <c r="D130" s="290" t="s">
        <v>338</v>
      </c>
      <c r="E130" s="290" t="s">
        <v>198</v>
      </c>
      <c r="F130" s="290" t="s">
        <v>604</v>
      </c>
      <c r="G130" s="290" t="s">
        <v>654</v>
      </c>
      <c r="H130" s="154" t="str">
        <f>'[3]Resumen Ángela Santana Sept 20'!H24</f>
        <v>Sin Iniciar</v>
      </c>
      <c r="I130" s="265" t="str">
        <f>'[3]Resumen Ángela Santana Sept 20'!I24</f>
        <v xml:space="preserve">Negociado </v>
      </c>
      <c r="J130" s="261" t="str">
        <f>'[3]Resumen Ángela Santana Sept 20'!J24</f>
        <v>Se realizo el levantamiento topografico por la OGI, para confirmar que el terreno disponible fuese el necesario para el modelo de dos niveles.</v>
      </c>
      <c r="K130" s="154" t="str">
        <f>'[3]Resumen Ángela Santana Sept 20'!K24</f>
        <v>18.422578, -70.117246</v>
      </c>
      <c r="L130" s="154">
        <f>'[3]Resumen Ángela Santana Sept 20'!L24</f>
        <v>0</v>
      </c>
      <c r="M130" s="140" t="str">
        <f>'[3]Resumen Ángela Santana Sept 20'!M24</f>
        <v>Mildred Ivelisse Suero de los Santos</v>
      </c>
      <c r="N130" s="140" t="str">
        <f>'[3]Resumen Ángela Santana Sept 20'!N24</f>
        <v>(809)756-5683</v>
      </c>
      <c r="O130" s="140" t="str">
        <f>'[3]Resumen Ángela Santana Sept 20'!O24</f>
        <v>Mildred_suero@hotmail.com</v>
      </c>
      <c r="P130" s="139" t="str">
        <f>'[3]Resumen Ángela Santana Sept 20'!P24</f>
        <v>2DO</v>
      </c>
      <c r="Q130" s="152">
        <f>'[3]Resumen Ángela Santana Sept 20'!Q24</f>
        <v>0</v>
      </c>
    </row>
    <row r="131" spans="1:17" s="7" customFormat="1" ht="63" x14ac:dyDescent="0.25">
      <c r="A131" s="190">
        <f t="shared" si="1"/>
        <v>120</v>
      </c>
      <c r="B131" s="137" t="s">
        <v>603</v>
      </c>
      <c r="C131" s="137" t="s">
        <v>224</v>
      </c>
      <c r="D131" s="139" t="s">
        <v>324</v>
      </c>
      <c r="E131" s="139" t="s">
        <v>198</v>
      </c>
      <c r="F131" s="139" t="s">
        <v>328</v>
      </c>
      <c r="G131" s="139" t="s">
        <v>329</v>
      </c>
      <c r="H131" s="139" t="str">
        <f>'[3]Resumen Ángela Santana Sept 20'!H25</f>
        <v>Inaugurado</v>
      </c>
      <c r="I131" s="209">
        <f>'[3]Resumen Ángela Santana Sept 20'!I25</f>
        <v>0</v>
      </c>
      <c r="J131" s="253">
        <f>'[3]Resumen Ángela Santana Sept 20'!J25</f>
        <v>0</v>
      </c>
      <c r="K131" s="159" t="str">
        <f>'[3]Resumen Ángela Santana Sept 20'!K25</f>
        <v>18.459512, -69.977838</v>
      </c>
      <c r="L131" s="159" t="str">
        <f>'[3]Resumen Ángela Santana Sept 20'!L25</f>
        <v>1N</v>
      </c>
      <c r="M131" s="140" t="str">
        <f>'[3]Resumen Ángela Santana Sept 20'!M25</f>
        <v>Miguel Ángel Carbonell Espinosa</v>
      </c>
      <c r="N131" s="139">
        <f>'[3]Resumen Ángela Santana Sept 20'!N25</f>
        <v>0</v>
      </c>
      <c r="O131" s="139">
        <f>'[3]Resumen Ángela Santana Sept 20'!O25</f>
        <v>0</v>
      </c>
      <c r="P131" s="139" t="str">
        <f>'[3]Resumen Ángela Santana Sept 20'!P25</f>
        <v>1ER</v>
      </c>
      <c r="Q131" s="152">
        <f>'[3]Resumen Ángela Santana Sept 20'!Q25</f>
        <v>1</v>
      </c>
    </row>
    <row r="132" spans="1:17" s="7" customFormat="1" ht="63" x14ac:dyDescent="0.25">
      <c r="A132" s="190">
        <f t="shared" si="1"/>
        <v>121</v>
      </c>
      <c r="B132" s="137" t="s">
        <v>603</v>
      </c>
      <c r="C132" s="137" t="s">
        <v>224</v>
      </c>
      <c r="D132" s="139" t="s">
        <v>324</v>
      </c>
      <c r="E132" s="139" t="s">
        <v>198</v>
      </c>
      <c r="F132" s="139" t="s">
        <v>330</v>
      </c>
      <c r="G132" s="139" t="s">
        <v>331</v>
      </c>
      <c r="H132" s="139" t="str">
        <f>'[3]Resumen Ángela Santana Sept 20'!H26</f>
        <v>Inaugurado</v>
      </c>
      <c r="I132" s="209">
        <f>'[3]Resumen Ángela Santana Sept 20'!I26</f>
        <v>0</v>
      </c>
      <c r="J132" s="253">
        <f>'[3]Resumen Ángela Santana Sept 20'!J26</f>
        <v>0</v>
      </c>
      <c r="K132" s="159" t="str">
        <f>'[3]Resumen Ángela Santana Sept 20'!K26</f>
        <v>18.461222, -69.980048</v>
      </c>
      <c r="L132" s="159">
        <f>'[3]Resumen Ángela Santana Sept 20'!L26</f>
        <v>0</v>
      </c>
      <c r="M132" s="140" t="str">
        <f>'[3]Resumen Ángela Santana Sept 20'!M26</f>
        <v>Johanny Astrid Camilo Redondo</v>
      </c>
      <c r="N132" s="140">
        <f>'[3]Resumen Ángela Santana Sept 20'!N26</f>
        <v>0</v>
      </c>
      <c r="O132" s="139">
        <f>'[3]Resumen Ángela Santana Sept 20'!O26</f>
        <v>0</v>
      </c>
      <c r="P132" s="139" t="str">
        <f>'[3]Resumen Ángela Santana Sept 20'!P26</f>
        <v>1ER</v>
      </c>
      <c r="Q132" s="152">
        <f>'[3]Resumen Ángela Santana Sept 20'!Q26</f>
        <v>1</v>
      </c>
    </row>
    <row r="133" spans="1:17" s="7" customFormat="1" ht="204.75" x14ac:dyDescent="0.25">
      <c r="A133" s="190">
        <f t="shared" si="1"/>
        <v>122</v>
      </c>
      <c r="B133" s="137" t="s">
        <v>603</v>
      </c>
      <c r="C133" s="137" t="s">
        <v>224</v>
      </c>
      <c r="D133" s="139" t="s">
        <v>324</v>
      </c>
      <c r="E133" s="139" t="s">
        <v>198</v>
      </c>
      <c r="F133" s="139" t="s">
        <v>332</v>
      </c>
      <c r="G133" s="139" t="s">
        <v>332</v>
      </c>
      <c r="H133" s="139" t="str">
        <f>'[3]Resumen Ángela Santana Sept 20'!H27</f>
        <v>Detenido pago cubicación</v>
      </c>
      <c r="I133" s="139">
        <f>'[3]Resumen Ángela Santana Sept 20'!I27</f>
        <v>0</v>
      </c>
      <c r="J133" s="253" t="str">
        <f>'[3]Resumen Ángela Santana Sept 20'!J27</f>
        <v>CAIPI detenido por cubicación, El contratista trabajo durante la cuarentena según el con las medidas de seguridad necesarias, hasta realizar el mejoramiento del terreno, mediante el relleno de granzote. Al contactarlo el 25 de mayo manifestó estar a espera del pago de cubicación pendiente y de que se le procese los trabajos de relleno, pues ya los recursos disponibles fueron agotados.</v>
      </c>
      <c r="K133" s="159" t="str">
        <f>'[3]Resumen Ángela Santana Sept 20'!K27</f>
        <v>18.463872,-69.998981</v>
      </c>
      <c r="L133" s="159">
        <f>'[3]Resumen Ángela Santana Sept 20'!L27</f>
        <v>0</v>
      </c>
      <c r="M133" s="140" t="str">
        <f>'[3]Resumen Ángela Santana Sept 20'!M27</f>
        <v>Ramón Francisco Castro Bello</v>
      </c>
      <c r="N133" s="140" t="str">
        <f>'[3]Resumen Ángela Santana Sept 20'!N27</f>
        <v>(829)750-1848</v>
      </c>
      <c r="O133" s="140" t="str">
        <f>'[3]Resumen Ángela Santana Sept 20'!O27</f>
        <v>rbello54@hotmail.com</v>
      </c>
      <c r="P133" s="139" t="str">
        <f>'[3]Resumen Ángela Santana Sept 20'!P27</f>
        <v>2DO</v>
      </c>
      <c r="Q133" s="152">
        <f>'[3]Resumen Ángela Santana Sept 20'!Q27</f>
        <v>0.1</v>
      </c>
    </row>
    <row r="134" spans="1:17" s="7" customFormat="1" ht="31.5" x14ac:dyDescent="0.25">
      <c r="A134" s="190">
        <f t="shared" si="1"/>
        <v>123</v>
      </c>
      <c r="B134" s="137" t="s">
        <v>603</v>
      </c>
      <c r="C134" s="137" t="s">
        <v>224</v>
      </c>
      <c r="D134" s="139" t="s">
        <v>324</v>
      </c>
      <c r="E134" s="139" t="s">
        <v>198</v>
      </c>
      <c r="F134" s="139" t="s">
        <v>333</v>
      </c>
      <c r="G134" s="139" t="s">
        <v>333</v>
      </c>
      <c r="H134" s="139" t="str">
        <f>'[3]Resumen Ángela Santana Sept 20'!H28</f>
        <v>Sin Iniciar</v>
      </c>
      <c r="I134" s="139" t="str">
        <f>'[3]Resumen Ángela Santana Sept 20'!I28</f>
        <v xml:space="preserve">Negociado </v>
      </c>
      <c r="J134" s="253">
        <f>'[3]Resumen Ángela Santana Sept 20'!J28</f>
        <v>0</v>
      </c>
      <c r="K134" s="159">
        <f>'[3]Resumen Ángela Santana Sept 20'!K28</f>
        <v>0</v>
      </c>
      <c r="L134" s="159">
        <f>'[3]Resumen Ángela Santana Sept 20'!L28</f>
        <v>0</v>
      </c>
      <c r="M134" s="140" t="str">
        <f>'[3]Resumen Ángela Santana Sept 20'!M28</f>
        <v>Manuel de Jesús Peña Salazar</v>
      </c>
      <c r="N134" s="140" t="str">
        <f>'[3]Resumen Ángela Santana Sept 20'!N28</f>
        <v>(809)995-0969</v>
      </c>
      <c r="O134" s="140" t="str">
        <f>'[3]Resumen Ángela Santana Sept 20'!O28</f>
        <v>leunam22244@hotmail.com</v>
      </c>
      <c r="P134" s="139" t="str">
        <f>'[3]Resumen Ángela Santana Sept 20'!P28</f>
        <v>2DO</v>
      </c>
      <c r="Q134" s="152">
        <f>'[3]Resumen Ángela Santana Sept 20'!Q28</f>
        <v>0</v>
      </c>
    </row>
    <row r="135" spans="1:17" s="7" customFormat="1" ht="31.5" x14ac:dyDescent="0.25">
      <c r="A135" s="190">
        <f t="shared" si="1"/>
        <v>124</v>
      </c>
      <c r="B135" s="137" t="s">
        <v>603</v>
      </c>
      <c r="C135" s="137" t="s">
        <v>224</v>
      </c>
      <c r="D135" s="139" t="s">
        <v>324</v>
      </c>
      <c r="E135" s="139" t="s">
        <v>198</v>
      </c>
      <c r="F135" s="139" t="s">
        <v>334</v>
      </c>
      <c r="G135" s="139" t="s">
        <v>334</v>
      </c>
      <c r="H135" s="139" t="str">
        <f>'[3]Resumen Ángela Santana Sept 20'!H29</f>
        <v>Sin Iniciar</v>
      </c>
      <c r="I135" s="139" t="str">
        <f>'[3]Resumen Ángela Santana Sept 20'!I29</f>
        <v xml:space="preserve">Negociado </v>
      </c>
      <c r="J135" s="253">
        <f>'[3]Resumen Ángela Santana Sept 20'!J29</f>
        <v>0</v>
      </c>
      <c r="K135" s="159">
        <f>'[3]Resumen Ángela Santana Sept 20'!K29</f>
        <v>0</v>
      </c>
      <c r="L135" s="159">
        <f>'[3]Resumen Ángela Santana Sept 20'!L29</f>
        <v>0</v>
      </c>
      <c r="M135" s="140" t="str">
        <f>'[3]Resumen Ángela Santana Sept 20'!M29</f>
        <v>Roy Sido Hawley</v>
      </c>
      <c r="N135" s="140" t="str">
        <f>'[3]Resumen Ángela Santana Sept 20'!N29</f>
        <v>(809)885-7436</v>
      </c>
      <c r="O135" s="140" t="str">
        <f>'[3]Resumen Ángela Santana Sept 20'!O29</f>
        <v>ingsidohawli@gmail.com</v>
      </c>
      <c r="P135" s="139" t="str">
        <f>'[3]Resumen Ángela Santana Sept 20'!P29</f>
        <v>2DO</v>
      </c>
      <c r="Q135" s="152">
        <f>'[3]Resumen Ángela Santana Sept 20'!Q29</f>
        <v>0</v>
      </c>
    </row>
    <row r="136" spans="1:17" s="7" customFormat="1" ht="126" x14ac:dyDescent="0.25">
      <c r="A136" s="190">
        <f t="shared" si="1"/>
        <v>125</v>
      </c>
      <c r="B136" s="137" t="s">
        <v>603</v>
      </c>
      <c r="C136" s="137" t="s">
        <v>224</v>
      </c>
      <c r="D136" s="139" t="s">
        <v>324</v>
      </c>
      <c r="E136" s="139" t="s">
        <v>198</v>
      </c>
      <c r="F136" s="139" t="s">
        <v>335</v>
      </c>
      <c r="G136" s="139" t="s">
        <v>335</v>
      </c>
      <c r="H136" s="139" t="str">
        <f>'[3]Resumen Ángela Santana Sept 20'!H30</f>
        <v>Detenido</v>
      </c>
      <c r="I136" s="139">
        <f>'[3]Resumen Ángela Santana Sept 20'!I30</f>
        <v>0</v>
      </c>
      <c r="J136" s="253" t="str">
        <f>'[3]Resumen Ángela Santana Sept 20'!J30</f>
        <v>CAIPI detenido. El contratista se encontraba trabajando en el relleno del terreno. Se detuvo el viernes 20 abril luego del anuncio del inicio de la cuarentena y por dificultad de despacho del material en las minas. Aún sigue detenido.</v>
      </c>
      <c r="K136" s="159">
        <f>'[3]Resumen Ángela Santana Sept 20'!K30</f>
        <v>0</v>
      </c>
      <c r="L136" s="159">
        <f>'[3]Resumen Ángela Santana Sept 20'!L30</f>
        <v>0</v>
      </c>
      <c r="M136" s="140" t="str">
        <f>'[3]Resumen Ángela Santana Sept 20'!M30</f>
        <v>Juan Daniel Pérez Ramirez</v>
      </c>
      <c r="N136" s="140" t="str">
        <f>'[3]Resumen Ángela Santana Sept 20'!N30</f>
        <v>(809)716-8313</v>
      </c>
      <c r="O136" s="140" t="str">
        <f>'[3]Resumen Ángela Santana Sept 20'!O30</f>
        <v>ing.perezramirez@hotmail.com</v>
      </c>
      <c r="P136" s="139" t="str">
        <f>'[3]Resumen Ángela Santana Sept 20'!P30</f>
        <v>2DO</v>
      </c>
      <c r="Q136" s="152">
        <f>'[3]Resumen Ángela Santana Sept 20'!Q30</f>
        <v>0.05</v>
      </c>
    </row>
    <row r="137" spans="1:17" s="7" customFormat="1" ht="31.5" x14ac:dyDescent="0.25">
      <c r="A137" s="190">
        <f t="shared" si="1"/>
        <v>126</v>
      </c>
      <c r="B137" s="137" t="s">
        <v>603</v>
      </c>
      <c r="C137" s="137" t="s">
        <v>224</v>
      </c>
      <c r="D137" s="145" t="s">
        <v>324</v>
      </c>
      <c r="E137" s="145" t="s">
        <v>198</v>
      </c>
      <c r="F137" s="145" t="s">
        <v>336</v>
      </c>
      <c r="G137" s="145" t="s">
        <v>337</v>
      </c>
      <c r="H137" s="145" t="str">
        <f>'[3]Resumen Ángela Santana Sept 20'!H31</f>
        <v>Sin Iniciar</v>
      </c>
      <c r="I137" s="212" t="str">
        <f>'[3]Resumen Ángela Santana Sept 20'!I31</f>
        <v xml:space="preserve">Negociado </v>
      </c>
      <c r="J137" s="252">
        <f>'[3]Resumen Ángela Santana Sept 20'!J31</f>
        <v>0</v>
      </c>
      <c r="K137" s="188" t="str">
        <f>'[3]Resumen Ángela Santana Sept 20'!K31</f>
        <v>18.469833, 
-69.987236</v>
      </c>
      <c r="L137" s="188">
        <f>'[3]Resumen Ángela Santana Sept 20'!L31</f>
        <v>0</v>
      </c>
      <c r="M137" s="146" t="str">
        <f>'[3]Resumen Ángela Santana Sept 20'!M31</f>
        <v>Aristides Manuel Rubio Sánchez</v>
      </c>
      <c r="N137" s="146" t="str">
        <f>'[3]Resumen Ángela Santana Sept 20'!N31</f>
        <v>(809)986-3172</v>
      </c>
      <c r="O137" s="146" t="str">
        <f>'[3]Resumen Ángela Santana Sept 20'!O31</f>
        <v>td.rubio@gmail.com</v>
      </c>
      <c r="P137" s="145" t="str">
        <f>'[3]Resumen Ángela Santana Sept 20'!P31</f>
        <v>2DO</v>
      </c>
      <c r="Q137" s="147">
        <f>'[3]Resumen Ángela Santana Sept 20'!Q31</f>
        <v>0</v>
      </c>
    </row>
    <row r="138" spans="1:17" s="7" customFormat="1" ht="47.25" x14ac:dyDescent="0.25">
      <c r="A138" s="190">
        <f t="shared" si="1"/>
        <v>127</v>
      </c>
      <c r="B138" s="137" t="s">
        <v>603</v>
      </c>
      <c r="C138" s="137" t="s">
        <v>338</v>
      </c>
      <c r="D138" s="137" t="s">
        <v>338</v>
      </c>
      <c r="E138" s="137" t="s">
        <v>198</v>
      </c>
      <c r="F138" s="137" t="s">
        <v>339</v>
      </c>
      <c r="G138" s="137" t="s">
        <v>340</v>
      </c>
      <c r="H138" s="137" t="str">
        <f>'[3]Resumen Ángela Santana Sept 20'!H32</f>
        <v>Inaugurado</v>
      </c>
      <c r="I138" s="137">
        <f>'[3]Resumen Ángela Santana Sept 20'!I32</f>
        <v>0</v>
      </c>
      <c r="J138" s="248">
        <f>'[3]Resumen Ángela Santana Sept 20'!J32</f>
        <v>0</v>
      </c>
      <c r="K138" s="137" t="str">
        <f>'[3]Resumen Ángela Santana Sept 20'!K32</f>
        <v>18.428473,-70.116536</v>
      </c>
      <c r="L138" s="137">
        <f>'[3]Resumen Ángela Santana Sept 20'!L32</f>
        <v>0</v>
      </c>
      <c r="M138" s="140" t="str">
        <f>'[3]Resumen Ángela Santana Sept 20'!M32</f>
        <v>Diseño, Instalación, Construcción y Servicios CxA / e. Messina</v>
      </c>
      <c r="N138" s="137">
        <f>'[3]Resumen Ángela Santana Sept 20'!N32</f>
        <v>0</v>
      </c>
      <c r="O138" s="137">
        <f>'[3]Resumen Ángela Santana Sept 20'!O32</f>
        <v>0</v>
      </c>
      <c r="P138" s="137" t="str">
        <f>'[3]Resumen Ángela Santana Sept 20'!P32</f>
        <v>1ER</v>
      </c>
      <c r="Q138" s="149">
        <f>'[3]Resumen Ángela Santana Sept 20'!Q32</f>
        <v>1</v>
      </c>
    </row>
    <row r="139" spans="1:17" s="7" customFormat="1" ht="121.5" customHeight="1" x14ac:dyDescent="0.25">
      <c r="A139" s="190">
        <f t="shared" si="1"/>
        <v>128</v>
      </c>
      <c r="B139" s="137" t="s">
        <v>603</v>
      </c>
      <c r="C139" s="137" t="s">
        <v>338</v>
      </c>
      <c r="D139" s="139" t="s">
        <v>338</v>
      </c>
      <c r="E139" s="139" t="s">
        <v>198</v>
      </c>
      <c r="F139" s="139" t="s">
        <v>341</v>
      </c>
      <c r="G139" s="139" t="s">
        <v>342</v>
      </c>
      <c r="H139" s="139" t="str">
        <f>'[3]Resumen Ángela Santana Sept 20'!H33</f>
        <v>Detenido</v>
      </c>
      <c r="I139" s="139">
        <f>'[3]Resumen Ángela Santana Sept 20'!I33</f>
        <v>0</v>
      </c>
      <c r="J139" s="336" t="str">
        <f>'[3]Resumen Ángela Santana Sept 20'!J33</f>
        <v>CAIPI detenido.  La construcción aún no ha iniciado debido a que no se ha podido realizar el desalojo de la mejora que está dentro del terreno.</v>
      </c>
      <c r="K139" s="159" t="str">
        <f>'[3]Resumen Ángela Santana Sept 20'!K33</f>
        <v>18.421083, -70.110541</v>
      </c>
      <c r="L139" s="159">
        <f>'[3]Resumen Ángela Santana Sept 20'!L33</f>
        <v>0</v>
      </c>
      <c r="M139" s="140" t="str">
        <f>'[3]Resumen Ángela Santana Sept 20'!M33</f>
        <v>Rafael Nicolás Alcántara Sánchez</v>
      </c>
      <c r="N139" s="140" t="str">
        <f>'[3]Resumen Ángela Santana Sept 20'!N33</f>
        <v>809-710-8634</v>
      </c>
      <c r="O139" s="140" t="str">
        <f>'[3]Resumen Ángela Santana Sept 20'!O33</f>
        <v>alcantara.1995@hotmail.com</v>
      </c>
      <c r="P139" s="139" t="str">
        <f>'[3]Resumen Ángela Santana Sept 20'!P33</f>
        <v>1ER</v>
      </c>
      <c r="Q139" s="152">
        <f>'[3]Resumen Ángela Santana Sept 20'!Q33</f>
        <v>0</v>
      </c>
    </row>
    <row r="140" spans="1:17" s="7" customFormat="1" ht="47.25" x14ac:dyDescent="0.25">
      <c r="A140" s="190">
        <f t="shared" si="1"/>
        <v>129</v>
      </c>
      <c r="B140" s="318" t="s">
        <v>603</v>
      </c>
      <c r="C140" s="318" t="s">
        <v>338</v>
      </c>
      <c r="D140" s="290" t="s">
        <v>338</v>
      </c>
      <c r="E140" s="290" t="s">
        <v>198</v>
      </c>
      <c r="F140" s="290" t="s">
        <v>656</v>
      </c>
      <c r="G140" s="290" t="s">
        <v>655</v>
      </c>
      <c r="H140" s="139" t="str">
        <f>'[3]Resumen Ángela Santana Sept 20'!H34</f>
        <v>Sin Iniciar</v>
      </c>
      <c r="I140" s="139" t="str">
        <f>'[3]Resumen Ángela Santana Sept 20'!I34</f>
        <v xml:space="preserve">Sin Propuesta </v>
      </c>
      <c r="J140" s="249">
        <f>'[3]Resumen Ángela Santana Sept 20'!J34</f>
        <v>0</v>
      </c>
      <c r="K140" s="159" t="str">
        <f>'[3]Resumen Ángela Santana Sept 20'!K34</f>
        <v>18.4080950,-70.1073530</v>
      </c>
      <c r="L140" s="159">
        <f>'[3]Resumen Ángela Santana Sept 20'!L34</f>
        <v>0</v>
      </c>
      <c r="M140" s="139" t="str">
        <f>'[3]Resumen Ángela Santana Sept 20'!M34</f>
        <v>Maria Altagracia del C. Mariano Tejeda</v>
      </c>
      <c r="N140" s="139" t="str">
        <f>'[3]Resumen Ángela Santana Sept 20'!N34</f>
        <v>(809)848-2254</v>
      </c>
      <c r="O140" s="140" t="str">
        <f>'[3]Resumen Ángela Santana Sept 20'!O34</f>
        <v>zajorycodia@yahoo.es</v>
      </c>
      <c r="P140" s="139" t="str">
        <f>'[3]Resumen Ángela Santana Sept 20'!P34</f>
        <v>2DO</v>
      </c>
      <c r="Q140" s="152">
        <f>'[3]Resumen Ángela Santana Sept 20'!Q34</f>
        <v>0</v>
      </c>
    </row>
    <row r="141" spans="1:17" s="7" customFormat="1" ht="129" customHeight="1" x14ac:dyDescent="0.25">
      <c r="A141" s="190">
        <f t="shared" si="1"/>
        <v>130</v>
      </c>
      <c r="B141" s="137" t="s">
        <v>603</v>
      </c>
      <c r="C141" s="137" t="s">
        <v>338</v>
      </c>
      <c r="D141" s="139" t="s">
        <v>338</v>
      </c>
      <c r="E141" s="139" t="s">
        <v>198</v>
      </c>
      <c r="F141" s="139" t="s">
        <v>343</v>
      </c>
      <c r="G141" s="139" t="s">
        <v>724</v>
      </c>
      <c r="H141" s="139" t="str">
        <f>'[3]Resumen Ángela Santana Sept 20'!H35</f>
        <v>En Construcción</v>
      </c>
      <c r="I141" s="139">
        <f>'[3]Resumen Ángela Santana Sept 20'!I35</f>
        <v>0</v>
      </c>
      <c r="J141" s="249" t="str">
        <f>'[3]Resumen Ángela Santana Sept 20'!J35</f>
        <v xml:space="preserve">CAIPI en construccion. el contratista reinicio recientemente con  los trabajos de movimiento de tierra y está cerrando para continuar con la construccion de la veja perimetral , luego de 2 años de procesos. </v>
      </c>
      <c r="K141" s="159" t="str">
        <f>'[3]Resumen Ángela Santana Sept 20'!K35</f>
        <v>18.424850, -70.098430</v>
      </c>
      <c r="L141" s="159" t="str">
        <f>'[3]Resumen Ángela Santana Sept 20'!L35</f>
        <v>1N</v>
      </c>
      <c r="M141" s="139" t="str">
        <f>'[3]Resumen Ángela Santana Sept 20'!M35</f>
        <v>GPF Group SRL/Edwar Ravelo</v>
      </c>
      <c r="N141" s="139" t="str">
        <f>'[3]Resumen Ángela Santana Sept 20'!N35</f>
        <v>(809)769-6900</v>
      </c>
      <c r="O141" s="140" t="str">
        <f>'[3]Resumen Ángela Santana Sept 20'!O35</f>
        <v>gpfgroup23@gmail.com</v>
      </c>
      <c r="P141" s="139" t="str">
        <f>'[3]Resumen Ángela Santana Sept 20'!P35</f>
        <v>2DO</v>
      </c>
      <c r="Q141" s="152">
        <f>'[3]Resumen Ángela Santana Sept 20'!Q35</f>
        <v>0.04</v>
      </c>
    </row>
    <row r="142" spans="1:17" s="7" customFormat="1" ht="119.25" customHeight="1" x14ac:dyDescent="0.25">
      <c r="A142" s="190">
        <f t="shared" ref="A142:A205" si="2">+A141+1</f>
        <v>131</v>
      </c>
      <c r="B142" s="137" t="s">
        <v>603</v>
      </c>
      <c r="C142" s="137" t="s">
        <v>338</v>
      </c>
      <c r="D142" s="139" t="s">
        <v>338</v>
      </c>
      <c r="E142" s="139" t="s">
        <v>198</v>
      </c>
      <c r="F142" s="139" t="s">
        <v>344</v>
      </c>
      <c r="G142" s="139" t="s">
        <v>723</v>
      </c>
      <c r="H142" s="154" t="str">
        <f>'[3]Resumen Ángela Santana Sept 20'!H36</f>
        <v>Detenido pago cubicación</v>
      </c>
      <c r="I142" s="139">
        <f>'[3]Resumen Ángela Santana Sept 20'!I36</f>
        <v>0</v>
      </c>
      <c r="J142" s="345" t="str">
        <f>'[3]Resumen Ángela Santana Sept 20'!J36</f>
        <v xml:space="preserve">CAIPI detenido por pago de cubicacion.  El contratista está a nivel de vigas y dinteles,  trabajo el acero para las columnas, rampas y en la colocacion de bloques pero se detuvo por pago. </v>
      </c>
      <c r="K142" s="159" t="str">
        <f>'[3]Resumen Ángela Santana Sept 20'!K36</f>
        <v>18.402878,-70.126762</v>
      </c>
      <c r="L142" s="159" t="str">
        <f>'[3]Resumen Ángela Santana Sept 20'!L36</f>
        <v>1N</v>
      </c>
      <c r="M142" s="139" t="str">
        <f>'[3]Resumen Ángela Santana Sept 20'!M36</f>
        <v>Mirquiades Figuereo Beltré</v>
      </c>
      <c r="N142" s="139" t="str">
        <f>'[3]Resumen Ángela Santana Sept 20'!N36</f>
        <v>(829)810-1542</v>
      </c>
      <c r="O142" s="140" t="str">
        <f>'[3]Resumen Ángela Santana Sept 20'!O36</f>
        <v>fybserviceingenieria@hotmail.com</v>
      </c>
      <c r="P142" s="139" t="str">
        <f>'[3]Resumen Ángela Santana Sept 20'!P36</f>
        <v>2DO</v>
      </c>
      <c r="Q142" s="152">
        <f>'[3]Resumen Ángela Santana Sept 20'!Q36</f>
        <v>0.15</v>
      </c>
    </row>
    <row r="143" spans="1:17" s="7" customFormat="1" ht="132.75" customHeight="1" x14ac:dyDescent="0.25">
      <c r="A143" s="190">
        <f t="shared" si="2"/>
        <v>132</v>
      </c>
      <c r="B143" s="137" t="s">
        <v>603</v>
      </c>
      <c r="C143" s="137" t="s">
        <v>338</v>
      </c>
      <c r="D143" s="139" t="s">
        <v>345</v>
      </c>
      <c r="E143" s="139" t="s">
        <v>124</v>
      </c>
      <c r="F143" s="139" t="s">
        <v>345</v>
      </c>
      <c r="G143" s="139" t="s">
        <v>346</v>
      </c>
      <c r="H143" s="139" t="str">
        <f>'[3]Resumen Ángela Santana Sept 20'!H37</f>
        <v>Detenido pago cubicación</v>
      </c>
      <c r="I143" s="139">
        <f>'[3]Resumen Ángela Santana Sept 20'!I37</f>
        <v>0</v>
      </c>
      <c r="J143" s="337" t="str">
        <f>'[3]Resumen Ángela Santana Sept 20'!J37</f>
        <v>CAIPI detenido por pago de cubicación.  CAIPI es etapa de terminación final con primera manos de pintura de colores, el mismo está en espera de pago para poder darle los toque finales.</v>
      </c>
      <c r="K143" s="159" t="str">
        <f>'[3]Resumen Ángela Santana Sept 20'!K37</f>
        <v>18.428360, -70.028854</v>
      </c>
      <c r="L143" s="159" t="str">
        <f>'[3]Resumen Ángela Santana Sept 20'!L37</f>
        <v>2N</v>
      </c>
      <c r="M143" s="139" t="str">
        <f>'[3]Resumen Ángela Santana Sept 20'!M37</f>
        <v xml:space="preserve">Miguel Serrano Segura.  </v>
      </c>
      <c r="N143" s="139">
        <f>'[3]Resumen Ángela Santana Sept 20'!N37</f>
        <v>0</v>
      </c>
      <c r="O143" s="140" t="str">
        <f>'[3]Resumen Ángela Santana Sept 20'!O37</f>
        <v>rosasuper2001@hotmail.com</v>
      </c>
      <c r="P143" s="139" t="str">
        <f>'[3]Resumen Ángela Santana Sept 20'!P37</f>
        <v>1ER</v>
      </c>
      <c r="Q143" s="152">
        <f>'[3]Resumen Ángela Santana Sept 20'!Q37</f>
        <v>0.85</v>
      </c>
    </row>
    <row r="144" spans="1:17" s="7" customFormat="1" ht="31.5" x14ac:dyDescent="0.25">
      <c r="A144" s="190">
        <f t="shared" si="2"/>
        <v>133</v>
      </c>
      <c r="B144" s="318" t="s">
        <v>603</v>
      </c>
      <c r="C144" s="318" t="s">
        <v>338</v>
      </c>
      <c r="D144" s="290" t="s">
        <v>605</v>
      </c>
      <c r="E144" s="290" t="s">
        <v>124</v>
      </c>
      <c r="F144" s="290" t="s">
        <v>606</v>
      </c>
      <c r="G144" s="290" t="s">
        <v>606</v>
      </c>
      <c r="H144" s="139" t="str">
        <f>'[3]Resumen Ángela Santana Sept 20'!H38</f>
        <v>Sin Iniciar</v>
      </c>
      <c r="I144" s="139" t="str">
        <f>'[3]Resumen Ángela Santana Sept 20'!I38</f>
        <v xml:space="preserve">Sin Propuesta </v>
      </c>
      <c r="J144" s="249">
        <f>'[3]Resumen Ángela Santana Sept 20'!J38</f>
        <v>0</v>
      </c>
      <c r="K144" s="159">
        <f>'[3]Resumen Ángela Santana Sept 20'!K38</f>
        <v>0</v>
      </c>
      <c r="L144" s="159" t="str">
        <f>'[3]Resumen Ángela Santana Sept 20'!L38</f>
        <v>1N</v>
      </c>
      <c r="M144" s="139" t="str">
        <f>'[3]Resumen Ángela Santana Sept 20'!M38</f>
        <v>Constructora E. y V., SRL/Amarilis Valeyron</v>
      </c>
      <c r="N144" s="139" t="str">
        <f>'[3]Resumen Ángela Santana Sept 20'!N38</f>
        <v>(809)696-7697</v>
      </c>
      <c r="O144" s="140" t="str">
        <f>'[3]Resumen Ángela Santana Sept 20'!O38</f>
        <v>amarilisvaleyron@gmail.com</v>
      </c>
      <c r="P144" s="139" t="str">
        <f>'[3]Resumen Ángela Santana Sept 20'!P38</f>
        <v>2DO</v>
      </c>
      <c r="Q144" s="152">
        <f>'[3]Resumen Ángela Santana Sept 20'!Q38</f>
        <v>0</v>
      </c>
    </row>
    <row r="145" spans="1:17" s="7" customFormat="1" ht="78.75" x14ac:dyDescent="0.25">
      <c r="A145" s="190">
        <f t="shared" si="2"/>
        <v>134</v>
      </c>
      <c r="B145" s="137" t="s">
        <v>603</v>
      </c>
      <c r="C145" s="137" t="s">
        <v>338</v>
      </c>
      <c r="D145" s="139" t="s">
        <v>345</v>
      </c>
      <c r="E145" s="139" t="s">
        <v>124</v>
      </c>
      <c r="F145" s="139" t="s">
        <v>347</v>
      </c>
      <c r="G145" s="139" t="s">
        <v>348</v>
      </c>
      <c r="H145" s="139" t="str">
        <f>'[3]Resumen Ángela Santana Sept 20'!H39</f>
        <v>Inaugurado</v>
      </c>
      <c r="I145" s="139">
        <f>'[3]Resumen Ángela Santana Sept 20'!I39</f>
        <v>0</v>
      </c>
      <c r="J145" s="249">
        <f>'[3]Resumen Ángela Santana Sept 20'!J39</f>
        <v>0</v>
      </c>
      <c r="K145" s="159" t="str">
        <f>'[3]Resumen Ángela Santana Sept 20'!K39</f>
        <v>18.415954, -70.041211</v>
      </c>
      <c r="L145" s="159" t="str">
        <f>'[3]Resumen Ángela Santana Sept 20'!L39</f>
        <v>2N</v>
      </c>
      <c r="M145" s="139" t="str">
        <f>'[3]Resumen Ángela Santana Sept 20'!M39</f>
        <v>Marilú Figueroa Medina</v>
      </c>
      <c r="N145" s="139">
        <f>'[3]Resumen Ángela Santana Sept 20'!N39</f>
        <v>0</v>
      </c>
      <c r="O145" s="139">
        <f>'[3]Resumen Ángela Santana Sept 20'!O39</f>
        <v>0</v>
      </c>
      <c r="P145" s="139" t="str">
        <f>'[3]Resumen Ángela Santana Sept 20'!P39</f>
        <v>1ER</v>
      </c>
      <c r="Q145" s="152">
        <f>'[3]Resumen Ángela Santana Sept 20'!Q39</f>
        <v>1</v>
      </c>
    </row>
    <row r="146" spans="1:17" s="7" customFormat="1" ht="108" customHeight="1" x14ac:dyDescent="0.25">
      <c r="A146" s="190">
        <f t="shared" si="2"/>
        <v>135</v>
      </c>
      <c r="B146" s="137" t="s">
        <v>603</v>
      </c>
      <c r="C146" s="137" t="s">
        <v>338</v>
      </c>
      <c r="D146" s="139" t="s">
        <v>345</v>
      </c>
      <c r="E146" s="140" t="s">
        <v>576</v>
      </c>
      <c r="F146" s="218" t="s">
        <v>589</v>
      </c>
      <c r="G146" s="218" t="s">
        <v>722</v>
      </c>
      <c r="H146" s="139" t="str">
        <f>'[3]Resumen Ángela Santana Sept 20'!H40</f>
        <v>Detenido por planos</v>
      </c>
      <c r="I146" s="139">
        <f>'[3]Resumen Ángela Santana Sept 20'!I40</f>
        <v>0</v>
      </c>
      <c r="J146" s="338" t="str">
        <f>'[3]Resumen Ángela Santana Sept 20'!J40</f>
        <v xml:space="preserve">CAIPI detenido por planos.  La contratista, está  en espera de la aprobación del diseño de unos muros de contención.
</v>
      </c>
      <c r="K146" s="159" t="str">
        <f>'[3]Resumen Ángela Santana Sept 20'!K40</f>
        <v>18.383850,-70.046436</v>
      </c>
      <c r="L146" s="159">
        <f>'[3]Resumen Ángela Santana Sept 20'!L40</f>
        <v>0</v>
      </c>
      <c r="M146" s="339" t="str">
        <f>'[3]Resumen Ángela Santana Sept 20'!M40</f>
        <v>Rosa Margarita Sánchez Ortega</v>
      </c>
      <c r="N146" s="139" t="str">
        <f>'[3]Resumen Ángela Santana Sept 20'!N40</f>
        <v>809-751-5890</v>
      </c>
      <c r="O146" s="139">
        <f>'[3]Resumen Ángela Santana Sept 20'!O40</f>
        <v>0</v>
      </c>
      <c r="P146" s="139" t="str">
        <f>'[3]Resumen Ángela Santana Sept 20'!P40</f>
        <v>1ER</v>
      </c>
      <c r="Q146" s="152">
        <f>'[3]Resumen Ángela Santana Sept 20'!Q40</f>
        <v>0.05</v>
      </c>
    </row>
    <row r="147" spans="1:17" s="7" customFormat="1" ht="47.25" x14ac:dyDescent="0.25">
      <c r="A147" s="190">
        <f t="shared" si="2"/>
        <v>136</v>
      </c>
      <c r="B147" s="137" t="s">
        <v>603</v>
      </c>
      <c r="C147" s="137" t="s">
        <v>338</v>
      </c>
      <c r="D147" s="139" t="s">
        <v>349</v>
      </c>
      <c r="E147" s="139" t="s">
        <v>124</v>
      </c>
      <c r="F147" s="139" t="s">
        <v>349</v>
      </c>
      <c r="G147" s="139" t="s">
        <v>721</v>
      </c>
      <c r="H147" s="139" t="str">
        <f>'[3]Resumen Ángela Santana Sept 20'!H41</f>
        <v>Sin Iniciar</v>
      </c>
      <c r="I147" s="139" t="str">
        <f>'[3]Resumen Ángela Santana Sept 20'!I41</f>
        <v xml:space="preserve">Sin Propuesta </v>
      </c>
      <c r="J147" s="249" t="str">
        <f>'[3]Resumen Ángela Santana Sept 20'!J41</f>
        <v xml:space="preserve"> Este terreno acaba de ser desestimado por la inversión en el mejoramiento del suelo.</v>
      </c>
      <c r="K147" s="159" t="str">
        <f>'[3]Resumen Ángela Santana Sept 20'!K41</f>
        <v>18.378662,-70.053200</v>
      </c>
      <c r="L147" s="159">
        <f>'[3]Resumen Ángela Santana Sept 20'!L41</f>
        <v>0</v>
      </c>
      <c r="M147" s="139" t="str">
        <f>'[3]Resumen Ángela Santana Sept 20'!M41</f>
        <v>Octavio Rhadames Rodríguez García</v>
      </c>
      <c r="N147" s="139" t="str">
        <f>'[3]Resumen Ángela Santana Sept 20'!N41</f>
        <v>(809)889-7993</v>
      </c>
      <c r="O147" s="139" t="str">
        <f>'[3]Resumen Ángela Santana Sept 20'!O41</f>
        <v>oroga@hotmail.com</v>
      </c>
      <c r="P147" s="139" t="str">
        <f>'[3]Resumen Ángela Santana Sept 20'!P41</f>
        <v>2DO</v>
      </c>
      <c r="Q147" s="152">
        <f>'[3]Resumen Ángela Santana Sept 20'!Q41</f>
        <v>0</v>
      </c>
    </row>
    <row r="148" spans="1:17" s="7" customFormat="1" ht="47.25" x14ac:dyDescent="0.25">
      <c r="A148" s="190">
        <f t="shared" si="2"/>
        <v>137</v>
      </c>
      <c r="B148" s="137" t="s">
        <v>603</v>
      </c>
      <c r="C148" s="137" t="s">
        <v>338</v>
      </c>
      <c r="D148" s="139" t="s">
        <v>350</v>
      </c>
      <c r="E148" s="139" t="s">
        <v>124</v>
      </c>
      <c r="F148" s="139" t="s">
        <v>350</v>
      </c>
      <c r="G148" s="139" t="s">
        <v>720</v>
      </c>
      <c r="H148" s="139" t="str">
        <f>'[3]Resumen Ángela Santana Sept 20'!H42</f>
        <v>Detenido pago cubicación</v>
      </c>
      <c r="I148" s="139">
        <f>'[3]Resumen Ángela Santana Sept 20'!I42</f>
        <v>0</v>
      </c>
      <c r="J148" s="249" t="str">
        <f>'[3]Resumen Ángela Santana Sept 20'!J42</f>
        <v xml:space="preserve">CAIPI detenido por cubicación. Tiene todo el edificio pañetado, espera pago de cubicación.  </v>
      </c>
      <c r="K148" s="159" t="str">
        <f>'[3]Resumen Ángela Santana Sept 20'!K42</f>
        <v>18.683603,-70.174370</v>
      </c>
      <c r="L148" s="159" t="str">
        <f>'[3]Resumen Ángela Santana Sept 20'!L42</f>
        <v>2N</v>
      </c>
      <c r="M148" s="139" t="str">
        <f>'[3]Resumen Ángela Santana Sept 20'!M42</f>
        <v>Jacinto José Fernández Matos</v>
      </c>
      <c r="N148" s="139">
        <f>'[3]Resumen Ángela Santana Sept 20'!N42</f>
        <v>8095495388</v>
      </c>
      <c r="O148" s="139" t="str">
        <f>'[3]Resumen Ángela Santana Sept 20'!O42</f>
        <v>jacintofernandezmatos@gmail.com</v>
      </c>
      <c r="P148" s="139" t="str">
        <f>'[3]Resumen Ángela Santana Sept 20'!P42</f>
        <v>1ER</v>
      </c>
      <c r="Q148" s="152">
        <f>'[3]Resumen Ángela Santana Sept 20'!Q42</f>
        <v>0.55000000000000004</v>
      </c>
    </row>
    <row r="149" spans="1:17" s="7" customFormat="1" ht="31.5" x14ac:dyDescent="0.25">
      <c r="A149" s="190">
        <f t="shared" si="2"/>
        <v>138</v>
      </c>
      <c r="B149" s="137" t="s">
        <v>603</v>
      </c>
      <c r="C149" s="137" t="s">
        <v>338</v>
      </c>
      <c r="D149" s="145" t="s">
        <v>350</v>
      </c>
      <c r="E149" s="145" t="s">
        <v>124</v>
      </c>
      <c r="F149" s="145" t="s">
        <v>350</v>
      </c>
      <c r="G149" s="145" t="s">
        <v>351</v>
      </c>
      <c r="H149" s="145" t="str">
        <f>'[3]Resumen Ángela Santana Sept 20'!H43</f>
        <v>Inaugurado</v>
      </c>
      <c r="I149" s="145">
        <f>'[3]Resumen Ángela Santana Sept 20'!I43</f>
        <v>0</v>
      </c>
      <c r="J149" s="250" t="str">
        <f>'[3]Resumen Ángela Santana Sept 20'!J43</f>
        <v>CAIPI INAGURADO EL 12 DE Agosto 2019.</v>
      </c>
      <c r="K149" s="188" t="str">
        <f>'[3]Resumen Ángela Santana Sept 20'!K43</f>
        <v>18.674578,-70,173434</v>
      </c>
      <c r="L149" s="188" t="str">
        <f>'[3]Resumen Ángela Santana Sept 20'!L43</f>
        <v>2N</v>
      </c>
      <c r="M149" s="145" t="str">
        <f>'[3]Resumen Ángela Santana Sept 20'!M43</f>
        <v>BIOHIT SRL/Alex Guzmán</v>
      </c>
      <c r="N149" s="145" t="str">
        <f>'[3]Resumen Ángela Santana Sept 20'!N43</f>
        <v>(809)981-7575</v>
      </c>
      <c r="O149" s="146" t="str">
        <f>'[3]Resumen Ángela Santana Sept 20'!O43</f>
        <v>biohit@claro.net.do</v>
      </c>
      <c r="P149" s="145" t="str">
        <f>'[3]Resumen Ángela Santana Sept 20'!P43</f>
        <v>2DO</v>
      </c>
      <c r="Q149" s="147">
        <f>'[3]Resumen Ángela Santana Sept 20'!Q43</f>
        <v>1</v>
      </c>
    </row>
    <row r="150" spans="1:17" s="7" customFormat="1" ht="47.25" x14ac:dyDescent="0.25">
      <c r="A150" s="190">
        <f t="shared" si="2"/>
        <v>139</v>
      </c>
      <c r="B150" s="137" t="s">
        <v>352</v>
      </c>
      <c r="C150" s="137" t="s">
        <v>353</v>
      </c>
      <c r="D150" s="137" t="s">
        <v>353</v>
      </c>
      <c r="E150" s="137" t="s">
        <v>198</v>
      </c>
      <c r="F150" s="137" t="s">
        <v>354</v>
      </c>
      <c r="G150" s="137" t="s">
        <v>355</v>
      </c>
      <c r="H150" s="137" t="str">
        <f>'[6]Resumen Mensual Gregory P Sep20'!H10</f>
        <v>Inaugurado</v>
      </c>
      <c r="I150" s="213">
        <f>'[6]Resumen Mensual Gregory P Sep20'!I10</f>
        <v>0</v>
      </c>
      <c r="J150" s="251">
        <f>'[6]Resumen Mensual Gregory P Sep20'!J10</f>
        <v>0</v>
      </c>
      <c r="K150" s="195" t="str">
        <f>'[6]Resumen Mensual Gregory P Sep20'!K10</f>
        <v>18.473733,  -69.315605</v>
      </c>
      <c r="L150" s="195" t="str">
        <f>'[6]Resumen Mensual Gregory P Sep20'!L10</f>
        <v>1N</v>
      </c>
      <c r="M150" s="137" t="str">
        <f>'[6]Resumen Mensual Gregory P Sep20'!M10</f>
        <v>Franklin Alexis Pimentel Duarte</v>
      </c>
      <c r="N150" s="137">
        <f>'[6]Resumen Mensual Gregory P Sep20'!N10</f>
        <v>0</v>
      </c>
      <c r="O150" s="153">
        <f>'[6]Resumen Mensual Gregory P Sep20'!O10</f>
        <v>0</v>
      </c>
      <c r="P150" s="137" t="str">
        <f>'[6]Resumen Mensual Gregory P Sep20'!P10</f>
        <v>1ER</v>
      </c>
      <c r="Q150" s="149">
        <f>'[6]Resumen Mensual Gregory P Sep20'!Q10</f>
        <v>1</v>
      </c>
    </row>
    <row r="151" spans="1:17" s="7" customFormat="1" ht="157.5" x14ac:dyDescent="0.25">
      <c r="A151" s="190">
        <f t="shared" si="2"/>
        <v>140</v>
      </c>
      <c r="B151" s="139" t="s">
        <v>352</v>
      </c>
      <c r="C151" s="137" t="s">
        <v>353</v>
      </c>
      <c r="D151" s="139" t="s">
        <v>353</v>
      </c>
      <c r="E151" s="139" t="s">
        <v>198</v>
      </c>
      <c r="F151" s="139" t="s">
        <v>356</v>
      </c>
      <c r="G151" s="139" t="s">
        <v>357</v>
      </c>
      <c r="H151" s="139" t="str">
        <f>'[6]Resumen Mensual Gregory P Sep20'!H11</f>
        <v>Detenido</v>
      </c>
      <c r="I151" s="209">
        <f>'[6]Resumen Mensual Gregory P Sep20'!I11</f>
        <v>0</v>
      </c>
      <c r="J151" s="253" t="str">
        <f>'[6]Resumen Mensual Gregory P Sep20'!J11</f>
        <v xml:space="preserve">CAIPI detenido. Se encuentra a nivel de dintel excepto casona que no se ha replanteado. La supervisión procesó una cubicación desde enero 2020, y aún no le han pagado, además al contratista dice que no reiniciará la obra hasta que no le reconozcan el movimiento de tierra solicitado.  </v>
      </c>
      <c r="K151" s="159" t="str">
        <f>'[6]Resumen Mensual Gregory P Sep20'!K11</f>
        <v>18.477104, -69.292093</v>
      </c>
      <c r="L151" s="159" t="str">
        <f>'[6]Resumen Mensual Gregory P Sep20'!L11</f>
        <v>1N</v>
      </c>
      <c r="M151" s="140" t="str">
        <f>'[6]Resumen Mensual Gregory P Sep20'!M11</f>
        <v>Alejandro Alexis Mota Santana</v>
      </c>
      <c r="N151" s="140" t="str">
        <f>'[6]Resumen Mensual Gregory P Sep20'!N11</f>
        <v>809-841-8168</v>
      </c>
      <c r="O151" s="151" t="str">
        <f>'[6]Resumen Mensual Gregory P Sep20'!O11</f>
        <v>arqalex_226@hotmail.com</v>
      </c>
      <c r="P151" s="139" t="str">
        <f>'[6]Resumen Mensual Gregory P Sep20'!P11</f>
        <v>1ER</v>
      </c>
      <c r="Q151" s="152">
        <f>'[6]Resumen Mensual Gregory P Sep20'!Q11</f>
        <v>0.2</v>
      </c>
    </row>
    <row r="152" spans="1:17" s="7" customFormat="1" ht="126" x14ac:dyDescent="0.25">
      <c r="A152" s="190">
        <f t="shared" si="2"/>
        <v>141</v>
      </c>
      <c r="B152" s="139" t="s">
        <v>352</v>
      </c>
      <c r="C152" s="137" t="s">
        <v>353</v>
      </c>
      <c r="D152" s="139" t="s">
        <v>353</v>
      </c>
      <c r="E152" s="139" t="s">
        <v>198</v>
      </c>
      <c r="F152" s="139" t="s">
        <v>358</v>
      </c>
      <c r="G152" s="139" t="s">
        <v>719</v>
      </c>
      <c r="H152" s="139" t="str">
        <f>'[6]Resumen Mensual Gregory P Sep20'!H12</f>
        <v>Detenido pago cubicación</v>
      </c>
      <c r="I152" s="209">
        <f>'[6]Resumen Mensual Gregory P Sep20'!I12</f>
        <v>0</v>
      </c>
      <c r="J152" s="253" t="str">
        <f>'[6]Resumen Mensual Gregory P Sep20'!J12</f>
        <v xml:space="preserve">CAIPI detenido por cubicación. Con pintura de base, se detuvo la obra el 23 de junio 2020, estaban instalando las tuberías de aguas residuales, revistieron la cocina, pero todavía no está adecuada a los requerimientos del INAIPI.
</v>
      </c>
      <c r="K152" s="159" t="str">
        <f>'[6]Resumen Mensual Gregory P Sep20'!K12</f>
        <v>18.447837, -69.298561</v>
      </c>
      <c r="L152" s="159" t="str">
        <f>'[6]Resumen Mensual Gregory P Sep20'!L12</f>
        <v>1N</v>
      </c>
      <c r="M152" s="139" t="str">
        <f>'[6]Resumen Mensual Gregory P Sep20'!M12</f>
        <v>Cruz Cid Const. Asoc. SRL / J. A. Cruz</v>
      </c>
      <c r="N152" s="139" t="str">
        <f>'[6]Resumen Mensual Gregory P Sep20'!N12</f>
        <v>809-697-6946</v>
      </c>
      <c r="O152" s="151" t="str">
        <f>'[6]Resumen Mensual Gregory P Sep20'!O12</f>
        <v>julian@cruzcid.com</v>
      </c>
      <c r="P152" s="139" t="str">
        <f>'[6]Resumen Mensual Gregory P Sep20'!P12</f>
        <v>1ER</v>
      </c>
      <c r="Q152" s="152">
        <f>'[6]Resumen Mensual Gregory P Sep20'!Q12</f>
        <v>0.85</v>
      </c>
    </row>
    <row r="153" spans="1:17" s="7" customFormat="1" ht="173.25" x14ac:dyDescent="0.25">
      <c r="A153" s="190">
        <f t="shared" si="2"/>
        <v>142</v>
      </c>
      <c r="B153" s="139" t="s">
        <v>352</v>
      </c>
      <c r="C153" s="137" t="s">
        <v>353</v>
      </c>
      <c r="D153" s="139" t="s">
        <v>353</v>
      </c>
      <c r="E153" s="139" t="s">
        <v>198</v>
      </c>
      <c r="F153" s="139" t="s">
        <v>359</v>
      </c>
      <c r="G153" s="139" t="s">
        <v>718</v>
      </c>
      <c r="H153" s="139" t="str">
        <f>'[6]Resumen Mensual Gregory P Sep20'!H13</f>
        <v>Detenido pago cubicación</v>
      </c>
      <c r="I153" s="209">
        <f>'[6]Resumen Mensual Gregory P Sep20'!I13</f>
        <v>0</v>
      </c>
      <c r="J153" s="253" t="str">
        <f>'[6]Resumen Mensual Gregory P Sep20'!J13</f>
        <v xml:space="preserve">CAIPI detenido por cubicación. Vació la losa del almacén después que se reactivaron los trabajos, pendiente terminar el lateral derecho de la verja perimetral, vació losas de ambos niveles, colocó los andamios para el pañete. detenido desde junio 2020.
</v>
      </c>
      <c r="K153" s="159" t="str">
        <f>'[6]Resumen Mensual Gregory P Sep20'!K13</f>
        <v xml:space="preserve">      18.4774490, -69.3009600</v>
      </c>
      <c r="L153" s="159" t="str">
        <f>'[6]Resumen Mensual Gregory P Sep20'!L13</f>
        <v>2N</v>
      </c>
      <c r="M153" s="139" t="str">
        <f>'[6]Resumen Mensual Gregory P Sep20'!M13</f>
        <v xml:space="preserve">Luis Cesar Quezada Pimentel </v>
      </c>
      <c r="N153" s="139">
        <f>'[6]Resumen Mensual Gregory P Sep20'!N13</f>
        <v>8096977620</v>
      </c>
      <c r="O153" s="151" t="str">
        <f>'[6]Resumen Mensual Gregory P Sep20'!O13</f>
        <v>iquezada03@hotmail.com</v>
      </c>
      <c r="P153" s="139" t="str">
        <f>'[6]Resumen Mensual Gregory P Sep20'!P13</f>
        <v>2DO</v>
      </c>
      <c r="Q153" s="152">
        <f>'[6]Resumen Mensual Gregory P Sep20'!Q13</f>
        <v>0.45</v>
      </c>
    </row>
    <row r="154" spans="1:17" s="7" customFormat="1" ht="110.25" x14ac:dyDescent="0.25">
      <c r="A154" s="190">
        <f t="shared" si="2"/>
        <v>143</v>
      </c>
      <c r="B154" s="139" t="s">
        <v>352</v>
      </c>
      <c r="C154" s="137" t="s">
        <v>353</v>
      </c>
      <c r="D154" s="139" t="s">
        <v>353</v>
      </c>
      <c r="E154" s="139" t="s">
        <v>198</v>
      </c>
      <c r="F154" s="139" t="s">
        <v>360</v>
      </c>
      <c r="G154" s="139" t="s">
        <v>717</v>
      </c>
      <c r="H154" s="139" t="str">
        <f>'[6]Resumen Mensual Gregory P Sep20'!H14</f>
        <v>Detenido</v>
      </c>
      <c r="I154" s="209">
        <f>'[6]Resumen Mensual Gregory P Sep20'!I14</f>
        <v>0</v>
      </c>
      <c r="J154" s="253" t="str">
        <f>'[6]Resumen Mensual Gregory P Sep20'!J14</f>
        <v>CAIPI detenido. El contratista recibió pago de una parte de la cubicación que tenía en circuito, está en espera que le completen para reiniciar con el acondicionamiento del terreno y colocación para vaciado la platea.</v>
      </c>
      <c r="K154" s="159" t="str">
        <f>'[6]Resumen Mensual Gregory P Sep20'!K14</f>
        <v>18.453475, -69.304030</v>
      </c>
      <c r="L154" s="159" t="str">
        <f>'[6]Resumen Mensual Gregory P Sep20'!L14</f>
        <v>1N</v>
      </c>
      <c r="M154" s="22" t="str">
        <f>'[6]Resumen Mensual Gregory P Sep20'!M14</f>
        <v>MOLINARA Ing.y Agm.SRL/Eligio M. Molina</v>
      </c>
      <c r="N154" s="139" t="str">
        <f>'[6]Resumen Mensual Gregory P Sep20'!N14</f>
        <v>(829)741-9899</v>
      </c>
      <c r="O154" s="154" t="str">
        <f>'[6]Resumen Mensual Gregory P Sep20'!O14</f>
        <v>molina.cxa@gmail.com</v>
      </c>
      <c r="P154" s="139" t="str">
        <f>'[6]Resumen Mensual Gregory P Sep20'!P14</f>
        <v>2DO</v>
      </c>
      <c r="Q154" s="152">
        <f>'[6]Resumen Mensual Gregory P Sep20'!Q14</f>
        <v>0.1</v>
      </c>
    </row>
    <row r="155" spans="1:17" s="7" customFormat="1" ht="31.5" x14ac:dyDescent="0.25">
      <c r="A155" s="190">
        <f t="shared" si="2"/>
        <v>144</v>
      </c>
      <c r="B155" s="139" t="s">
        <v>352</v>
      </c>
      <c r="C155" s="137" t="s">
        <v>353</v>
      </c>
      <c r="D155" s="139" t="s">
        <v>353</v>
      </c>
      <c r="E155" s="139" t="s">
        <v>198</v>
      </c>
      <c r="F155" s="139" t="s">
        <v>361</v>
      </c>
      <c r="G155" s="139" t="s">
        <v>716</v>
      </c>
      <c r="H155" s="139" t="str">
        <f>'[6]Resumen Mensual Gregory P Sep20'!H15</f>
        <v>Inaugurado</v>
      </c>
      <c r="I155" s="209">
        <f>'[6]Resumen Mensual Gregory P Sep20'!I15</f>
        <v>0</v>
      </c>
      <c r="J155" s="253">
        <f>'[6]Resumen Mensual Gregory P Sep20'!J15</f>
        <v>0</v>
      </c>
      <c r="K155" s="159" t="str">
        <f>'[6]Resumen Mensual Gregory P Sep20'!K15</f>
        <v>18.465284, -69.273187</v>
      </c>
      <c r="L155" s="159" t="str">
        <f>'[6]Resumen Mensual Gregory P Sep20'!L15</f>
        <v>1N</v>
      </c>
      <c r="M155" s="22" t="str">
        <f>'[6]Resumen Mensual Gregory P Sep20'!M15</f>
        <v>Mario Julio Martinez Read</v>
      </c>
      <c r="N155" s="139" t="str">
        <f>'[6]Resumen Mensual Gregory P Sep20'!N15</f>
        <v>(809)710-0930</v>
      </c>
      <c r="O155" s="154" t="str">
        <f>'[6]Resumen Mensual Gregory P Sep20'!O15</f>
        <v>mariojulio.martinez@hotmail.com</v>
      </c>
      <c r="P155" s="139" t="str">
        <f>'[6]Resumen Mensual Gregory P Sep20'!P15</f>
        <v>2DO</v>
      </c>
      <c r="Q155" s="152">
        <f>'[6]Resumen Mensual Gregory P Sep20'!Q15</f>
        <v>1</v>
      </c>
    </row>
    <row r="156" spans="1:17" s="7" customFormat="1" ht="173.25" x14ac:dyDescent="0.25">
      <c r="A156" s="190">
        <f t="shared" si="2"/>
        <v>145</v>
      </c>
      <c r="B156" s="145" t="s">
        <v>352</v>
      </c>
      <c r="C156" s="137" t="s">
        <v>353</v>
      </c>
      <c r="D156" s="145" t="s">
        <v>362</v>
      </c>
      <c r="E156" s="145" t="s">
        <v>144</v>
      </c>
      <c r="F156" s="220" t="s">
        <v>625</v>
      </c>
      <c r="G156" s="220" t="s">
        <v>715</v>
      </c>
      <c r="H156" s="145" t="str">
        <f>'[6]Resumen Mensual Gregory P Sep20'!H16</f>
        <v>Detenido</v>
      </c>
      <c r="I156" s="212">
        <f>'[6]Resumen Mensual Gregory P Sep20'!I16</f>
        <v>0</v>
      </c>
      <c r="J156" s="252" t="str">
        <f>'[6]Resumen Mensual Gregory P Sep20'!J16</f>
        <v xml:space="preserve">CAIPI detenido. El 20 de mayo, él contratista entregó los documentos solicitados por el MOPC, para así solicitar el permiso de medio ambiente y poder iniciar el proyecto. El 25 de julio la supervisión del MOPC solicitó al CEA una certificación para poder hacer la solicitud medioambiental y aún no hay la autorización. </v>
      </c>
      <c r="K156" s="188" t="str">
        <f>'[6]Resumen Mensual Gregory P Sep20'!K16</f>
        <v>18.5483950, -69.2997660</v>
      </c>
      <c r="L156" s="188" t="str">
        <f>'[6]Resumen Mensual Gregory P Sep20'!L16</f>
        <v>1N</v>
      </c>
      <c r="M156" s="145" t="str">
        <f>'[6]Resumen Mensual Gregory P Sep20'!M16</f>
        <v>Castor Const. EIRL/Edmundo García I.</v>
      </c>
      <c r="N156" s="145" t="str">
        <f>'[6]Resumen Mensual Gregory P Sep20'!N16</f>
        <v>(809)723-5501</v>
      </c>
      <c r="O156" s="150" t="str">
        <f>'[6]Resumen Mensual Gregory P Sep20'!O16</f>
        <v>elcastorconstruye@gmail.com</v>
      </c>
      <c r="P156" s="145" t="str">
        <f>'[6]Resumen Mensual Gregory P Sep20'!P16</f>
        <v>1ER</v>
      </c>
      <c r="Q156" s="147">
        <f>'[6]Resumen Mensual Gregory P Sep20'!Q16</f>
        <v>0</v>
      </c>
    </row>
    <row r="157" spans="1:17" s="7" customFormat="1" ht="31.5" x14ac:dyDescent="0.25">
      <c r="A157" s="190">
        <f t="shared" si="2"/>
        <v>146</v>
      </c>
      <c r="B157" s="231" t="s">
        <v>352</v>
      </c>
      <c r="C157" s="231" t="s">
        <v>363</v>
      </c>
      <c r="D157" s="231" t="s">
        <v>363</v>
      </c>
      <c r="E157" s="231" t="s">
        <v>124</v>
      </c>
      <c r="F157" s="231" t="s">
        <v>364</v>
      </c>
      <c r="G157" s="231" t="s">
        <v>365</v>
      </c>
      <c r="H157" s="231" t="str">
        <f>'[6]Resumen Mensual Gregory P Sep20'!H17</f>
        <v>Inaugurado</v>
      </c>
      <c r="I157" s="232">
        <f>'[6]Resumen Mensual Gregory P Sep20'!I17</f>
        <v>0</v>
      </c>
      <c r="J157" s="255">
        <f>'[6]Resumen Mensual Gregory P Sep20'!J17</f>
        <v>0</v>
      </c>
      <c r="K157" s="233" t="str">
        <f>'[6]Resumen Mensual Gregory P Sep20'!K17</f>
        <v>18.763928, -69.037703</v>
      </c>
      <c r="L157" s="233" t="str">
        <f>'[6]Resumen Mensual Gregory P Sep20'!L17</f>
        <v>2N</v>
      </c>
      <c r="M157" s="340" t="str">
        <f>'[6]Resumen Mensual Gregory P Sep20'!M17</f>
        <v>Janser Ant. Maejía Zorrilla</v>
      </c>
      <c r="N157" s="231">
        <f>'[6]Resumen Mensual Gregory P Sep20'!N17</f>
        <v>0</v>
      </c>
      <c r="O157" s="335">
        <f>'[6]Resumen Mensual Gregory P Sep20'!O17</f>
        <v>0</v>
      </c>
      <c r="P157" s="231" t="str">
        <f>'[6]Resumen Mensual Gregory P Sep20'!P17</f>
        <v>1ER</v>
      </c>
      <c r="Q157" s="234">
        <f>'[6]Resumen Mensual Gregory P Sep20'!Q17</f>
        <v>1</v>
      </c>
    </row>
    <row r="158" spans="1:17" s="7" customFormat="1" ht="47.25" x14ac:dyDescent="0.25">
      <c r="A158" s="190">
        <f t="shared" si="2"/>
        <v>147</v>
      </c>
      <c r="B158" s="290" t="s">
        <v>352</v>
      </c>
      <c r="C158" s="290" t="s">
        <v>363</v>
      </c>
      <c r="D158" s="290" t="s">
        <v>598</v>
      </c>
      <c r="E158" s="290" t="s">
        <v>198</v>
      </c>
      <c r="F158" s="291" t="s">
        <v>658</v>
      </c>
      <c r="G158" s="291" t="s">
        <v>657</v>
      </c>
      <c r="H158" s="140" t="str">
        <f>'[6]Resumen Mensual Gregory P Sep20'!H18</f>
        <v>Sin Iniciar</v>
      </c>
      <c r="I158" s="209" t="str">
        <f>'[6]Resumen Mensual Gregory P Sep20'!I18</f>
        <v xml:space="preserve">Con Propuesta de Donación </v>
      </c>
      <c r="J158" s="253">
        <f>'[6]Resumen Mensual Gregory P Sep20'!J18</f>
        <v>0</v>
      </c>
      <c r="K158" s="159" t="str">
        <f>'[6]Resumen Mensual Gregory P Sep20'!K18</f>
        <v>18.9806310, -69.0434980</v>
      </c>
      <c r="L158" s="159" t="str">
        <f>'[6]Resumen Mensual Gregory P Sep20'!L18</f>
        <v>1N</v>
      </c>
      <c r="M158" s="140" t="str">
        <f>'[6]Resumen Mensual Gregory P Sep20'!M18</f>
        <v>Elecasa Constructora .e Inmobiliaria, SRL/Elena Cabrera</v>
      </c>
      <c r="N158" s="140" t="str">
        <f>'[6]Resumen Mensual Gregory P Sep20'!N18</f>
        <v>(809)729-9008</v>
      </c>
      <c r="O158" s="151" t="str">
        <f>'[6]Resumen Mensual Gregory P Sep20'!O18</f>
        <v>elenacabrera07@gmail.com</v>
      </c>
      <c r="P158" s="140" t="str">
        <f>'[6]Resumen Mensual Gregory P Sep20'!P18</f>
        <v>2DO</v>
      </c>
      <c r="Q158" s="152">
        <f>'[6]Resumen Mensual Gregory P Sep20'!Q18</f>
        <v>0</v>
      </c>
    </row>
    <row r="159" spans="1:17" s="7" customFormat="1" ht="89.25" customHeight="1" x14ac:dyDescent="0.25">
      <c r="A159" s="190">
        <f t="shared" si="2"/>
        <v>148</v>
      </c>
      <c r="B159" s="137" t="s">
        <v>352</v>
      </c>
      <c r="C159" s="137" t="s">
        <v>366</v>
      </c>
      <c r="D159" s="137" t="s">
        <v>366</v>
      </c>
      <c r="E159" s="137" t="s">
        <v>124</v>
      </c>
      <c r="F159" s="137" t="s">
        <v>367</v>
      </c>
      <c r="G159" s="137" t="s">
        <v>368</v>
      </c>
      <c r="H159" s="137" t="str">
        <f>'[6]Resumen Mensual Gregory P Sep20'!H19</f>
        <v>En Construcción</v>
      </c>
      <c r="I159" s="213">
        <f>'[6]Resumen Mensual Gregory P Sep20'!I19</f>
        <v>0</v>
      </c>
      <c r="J159" s="251" t="str">
        <f>'[6]Resumen Mensual Gregory P Sep20'!J19</f>
        <v>CAIPI en construcción. Está a nivel de pintura de todos los módulos, Están trabajando en la jardinería, en las excavaciones del drenaje pluvial en el patio, vaciando las rampas de acceso entre módulos y colocando malla ciclónica encima de la verja perimetral lateral derecho como protección.</v>
      </c>
      <c r="K159" s="195" t="str">
        <f>'[6]Resumen Mensual Gregory P Sep20'!K19</f>
        <v>18.780616, -69.251666</v>
      </c>
      <c r="L159" s="195" t="str">
        <f>'[6]Resumen Mensual Gregory P Sep20'!L19</f>
        <v>1N</v>
      </c>
      <c r="M159" s="137" t="str">
        <f>'[6]Resumen Mensual Gregory P Sep20'!M19</f>
        <v>Antonio Martínez</v>
      </c>
      <c r="N159" s="137" t="str">
        <f>'[6]Resumen Mensual Gregory P Sep20'!N19</f>
        <v>809-395-3591</v>
      </c>
      <c r="O159" s="153" t="str">
        <f>'[6]Resumen Mensual Gregory P Sep20'!O19</f>
        <v>servicios430@yahoo.com</v>
      </c>
      <c r="P159" s="137" t="str">
        <f>'[6]Resumen Mensual Gregory P Sep20'!P19</f>
        <v>1ER</v>
      </c>
      <c r="Q159" s="149">
        <f>'[6]Resumen Mensual Gregory P Sep20'!Q19</f>
        <v>0.83</v>
      </c>
    </row>
    <row r="160" spans="1:17" s="7" customFormat="1" ht="107.25" customHeight="1" x14ac:dyDescent="0.25">
      <c r="A160" s="190">
        <f t="shared" si="2"/>
        <v>149</v>
      </c>
      <c r="B160" s="139" t="s">
        <v>352</v>
      </c>
      <c r="C160" s="137" t="s">
        <v>366</v>
      </c>
      <c r="D160" s="139" t="s">
        <v>366</v>
      </c>
      <c r="E160" s="139" t="s">
        <v>124</v>
      </c>
      <c r="F160" s="139" t="s">
        <v>366</v>
      </c>
      <c r="G160" s="139" t="s">
        <v>714</v>
      </c>
      <c r="H160" s="139" t="str">
        <f>'[6]Resumen Mensual Gregory P Sep20'!H20</f>
        <v>Detenido por planos</v>
      </c>
      <c r="I160" s="209">
        <f>'[6]Resumen Mensual Gregory P Sep20'!I20</f>
        <v>0</v>
      </c>
      <c r="J160" s="253" t="str">
        <f>'[6]Resumen Mensual Gregory P Sep20'!J20</f>
        <v>CAIPI detenido por planos. La contratista está en espera desde el 12 de febrero 2020 de la aprobación de movimiento de tierra.</v>
      </c>
      <c r="K160" s="159" t="str">
        <f>'[6]Resumen Mensual Gregory P Sep20'!K20</f>
        <v>18.767563, -69.262354</v>
      </c>
      <c r="L160" s="159" t="str">
        <f>'[6]Resumen Mensual Gregory P Sep20'!L20</f>
        <v>2N</v>
      </c>
      <c r="M160" s="22" t="str">
        <f>'[6]Resumen Mensual Gregory P Sep20'!M20</f>
        <v>Jannfreisy Anabelle Rivas Rodriguez</v>
      </c>
      <c r="N160" s="139" t="str">
        <f>'[6]Resumen Mensual Gregory P Sep20'!N20</f>
        <v>(809)981-6088</v>
      </c>
      <c r="O160" s="154" t="str">
        <f>'[6]Resumen Mensual Gregory P Sep20'!O20</f>
        <v>jannfreisy@gmail.com</v>
      </c>
      <c r="P160" s="139" t="str">
        <f>'[6]Resumen Mensual Gregory P Sep20'!P20</f>
        <v>2DO</v>
      </c>
      <c r="Q160" s="152">
        <f>'[6]Resumen Mensual Gregory P Sep20'!Q20</f>
        <v>0</v>
      </c>
    </row>
    <row r="161" spans="1:17" s="7" customFormat="1" ht="173.25" x14ac:dyDescent="0.25">
      <c r="A161" s="190">
        <f t="shared" si="2"/>
        <v>150</v>
      </c>
      <c r="B161" s="145" t="s">
        <v>352</v>
      </c>
      <c r="C161" s="137" t="s">
        <v>366</v>
      </c>
      <c r="D161" s="145" t="s">
        <v>369</v>
      </c>
      <c r="E161" s="145" t="s">
        <v>144</v>
      </c>
      <c r="F161" s="145" t="s">
        <v>369</v>
      </c>
      <c r="G161" s="145" t="s">
        <v>713</v>
      </c>
      <c r="H161" s="145" t="str">
        <f>'[6]Resumen Mensual Gregory P Sep20'!H21</f>
        <v>Detenido</v>
      </c>
      <c r="I161" s="212">
        <f>'[6]Resumen Mensual Gregory P Sep20'!I21</f>
        <v>0</v>
      </c>
      <c r="J161" s="252" t="str">
        <f>'[6]Resumen Mensual Gregory P Sep20'!J21</f>
        <v>CAIPI detenido. La supervisión envió el 24 de agosto 2020 una cubicación de cierre del CAIPI al MINERD que lo había solicitado, para enviar nuevamente la rescisión del contrato por incumplimiento. Solo ha realizado la verja perimetral, una canaleta externa para sacar agua y construcción de parte de la cisterna.</v>
      </c>
      <c r="K161" s="188" t="str">
        <f>'[6]Resumen Mensual Gregory P Sep20'!K21</f>
        <v>19.050900, -69.389487</v>
      </c>
      <c r="L161" s="188" t="str">
        <f>'[6]Resumen Mensual Gregory P Sep20'!L21</f>
        <v>2N</v>
      </c>
      <c r="M161" s="23" t="str">
        <f>'[6]Resumen Mensual Gregory P Sep20'!M21</f>
        <v>Jose Miguel A. Nuñez Balbuena</v>
      </c>
      <c r="N161" s="145" t="str">
        <f>'[6]Resumen Mensual Gregory P Sep20'!N21</f>
        <v>(809)504-7790</v>
      </c>
      <c r="O161" s="155" t="str">
        <f>'[6]Resumen Mensual Gregory P Sep20'!O21</f>
        <v>ing.amadairis@gmail.com</v>
      </c>
      <c r="P161" s="145" t="str">
        <f>'[6]Resumen Mensual Gregory P Sep20'!P21</f>
        <v>2DO</v>
      </c>
      <c r="Q161" s="147">
        <f>'[6]Resumen Mensual Gregory P Sep20'!Q21</f>
        <v>0.1</v>
      </c>
    </row>
    <row r="162" spans="1:17" s="7" customFormat="1" ht="110.25" x14ac:dyDescent="0.25">
      <c r="A162" s="190">
        <f t="shared" si="2"/>
        <v>151</v>
      </c>
      <c r="B162" s="137" t="s">
        <v>352</v>
      </c>
      <c r="C162" s="137" t="s">
        <v>370</v>
      </c>
      <c r="D162" s="137" t="s">
        <v>370</v>
      </c>
      <c r="E162" s="137" t="s">
        <v>198</v>
      </c>
      <c r="F162" s="137" t="s">
        <v>371</v>
      </c>
      <c r="G162" s="137" t="s">
        <v>712</v>
      </c>
      <c r="H162" s="143" t="str">
        <f>'[6]Resumen Mensual Gregory P Sep20'!H22</f>
        <v>Detenido pago cubicación</v>
      </c>
      <c r="I162" s="213">
        <f>'[6]Resumen Mensual Gregory P Sep20'!I22</f>
        <v>0</v>
      </c>
      <c r="J162" s="251" t="str">
        <f>'[6]Resumen Mensual Gregory P Sep20'!J22</f>
        <v>CAIPI detenido por cubicación. Habían realizado las excavaciones del drenaje pluvial, estaban dándole terminación a los pisos, para luego iniciar con la pintura acrílica de colores, detenido desde julio 2020.</v>
      </c>
      <c r="K162" s="195" t="str">
        <f>'[6]Resumen Mensual Gregory P Sep20'!K22</f>
        <v>18.420994, -68.987906</v>
      </c>
      <c r="L162" s="195" t="str">
        <f>'[6]Resumen Mensual Gregory P Sep20'!L22</f>
        <v>1N</v>
      </c>
      <c r="M162" s="137" t="str">
        <f>'[6]Resumen Mensual Gregory P Sep20'!M22</f>
        <v>César Augusto Hunt Álvarez</v>
      </c>
      <c r="N162" s="137" t="str">
        <f>'[6]Resumen Mensual Gregory P Sep20'!N22</f>
        <v>(809)710-1717</v>
      </c>
      <c r="O162" s="153" t="str">
        <f>'[6]Resumen Mensual Gregory P Sep20'!O22</f>
        <v>arqhunt@hotmail.com</v>
      </c>
      <c r="P162" s="137" t="str">
        <f>'[6]Resumen Mensual Gregory P Sep20'!P22</f>
        <v>1ER</v>
      </c>
      <c r="Q162" s="144">
        <f>'[6]Resumen Mensual Gregory P Sep20'!Q22</f>
        <v>0.72</v>
      </c>
    </row>
    <row r="163" spans="1:17" s="7" customFormat="1" ht="78.75" x14ac:dyDescent="0.25">
      <c r="A163" s="190">
        <f t="shared" si="2"/>
        <v>152</v>
      </c>
      <c r="B163" s="139" t="s">
        <v>352</v>
      </c>
      <c r="C163" s="137" t="s">
        <v>370</v>
      </c>
      <c r="D163" s="139" t="s">
        <v>370</v>
      </c>
      <c r="E163" s="139" t="s">
        <v>198</v>
      </c>
      <c r="F163" s="139" t="s">
        <v>372</v>
      </c>
      <c r="G163" s="139" t="s">
        <v>711</v>
      </c>
      <c r="H163" s="139" t="str">
        <f>'[6]Resumen Mensual Gregory P Sep20'!H23</f>
        <v>Detenido pago cubicación</v>
      </c>
      <c r="I163" s="209">
        <f>'[6]Resumen Mensual Gregory P Sep20'!I23</f>
        <v>0</v>
      </c>
      <c r="J163" s="253" t="str">
        <f>'[6]Resumen Mensual Gregory P Sep20'!J23</f>
        <v xml:space="preserve">CAIPI detenido por cubicación. Realizó el vaciado de la zapata y colocó los blocks a nivel de viga de amarre, detenido desde marzo. </v>
      </c>
      <c r="K163" s="159" t="str">
        <f>'[6]Resumen Mensual Gregory P Sep20'!K23</f>
        <v>18.440216, -68.978306</v>
      </c>
      <c r="L163" s="159" t="str">
        <f>'[6]Resumen Mensual Gregory P Sep20'!L23</f>
        <v>1N</v>
      </c>
      <c r="M163" s="139" t="str">
        <f>'[6]Resumen Mensual Gregory P Sep20'!M23</f>
        <v>Constructora Terrero Franco, SRL</v>
      </c>
      <c r="N163" s="139" t="str">
        <f>'[6]Resumen Mensual Gregory P Sep20'!N23</f>
        <v>(809)383-1785</v>
      </c>
      <c r="O163" s="154" t="str">
        <f>'[6]Resumen Mensual Gregory P Sep20'!O23</f>
        <v>ing.carmenfranco@hotmail.com</v>
      </c>
      <c r="P163" s="139" t="str">
        <f>'[6]Resumen Mensual Gregory P Sep20'!P23</f>
        <v>1ER</v>
      </c>
      <c r="Q163" s="141">
        <f>'[6]Resumen Mensual Gregory P Sep20'!Q23</f>
        <v>0.14000000000000001</v>
      </c>
    </row>
    <row r="164" spans="1:17" s="7" customFormat="1" ht="63" x14ac:dyDescent="0.25">
      <c r="A164" s="190">
        <f t="shared" si="2"/>
        <v>153</v>
      </c>
      <c r="B164" s="290" t="s">
        <v>352</v>
      </c>
      <c r="C164" s="290" t="s">
        <v>353</v>
      </c>
      <c r="D164" s="290" t="s">
        <v>353</v>
      </c>
      <c r="E164" s="290" t="s">
        <v>198</v>
      </c>
      <c r="F164" s="290" t="s">
        <v>607</v>
      </c>
      <c r="G164" s="290" t="s">
        <v>654</v>
      </c>
      <c r="H164" s="139" t="str">
        <f>'[6]Resumen Mensual Gregory P Sep20'!H24</f>
        <v>Sin Iniciar</v>
      </c>
      <c r="I164" s="209" t="str">
        <f>'[6]Resumen Mensual Gregory P Sep20'!I24</f>
        <v xml:space="preserve">Con Propuesta de Donación </v>
      </c>
      <c r="J164" s="253">
        <f>'[6]Resumen Mensual Gregory P Sep20'!J24</f>
        <v>0</v>
      </c>
      <c r="K164" s="159" t="str">
        <f>'[6]Resumen Mensual Gregory P Sep20'!K24</f>
        <v>18.4561550, -69.2982120</v>
      </c>
      <c r="L164" s="159" t="str">
        <f>'[6]Resumen Mensual Gregory P Sep20'!L24</f>
        <v>1N</v>
      </c>
      <c r="M164" s="139" t="str">
        <f>'[6]Resumen Mensual Gregory P Sep20'!M24</f>
        <v>Esteban Cayetano Rijo</v>
      </c>
      <c r="N164" s="139" t="str">
        <f>'[6]Resumen Mensual Gregory P Sep20'!N24</f>
        <v>(809)710-3973</v>
      </c>
      <c r="O164" s="154" t="str">
        <f>'[6]Resumen Mensual Gregory P Sep20'!O24</f>
        <v>ingcayetano@hotmail.com</v>
      </c>
      <c r="P164" s="139" t="str">
        <f>'[6]Resumen Mensual Gregory P Sep20'!P24</f>
        <v>2DO</v>
      </c>
      <c r="Q164" s="152">
        <f>'[6]Resumen Mensual Gregory P Sep20'!Q24</f>
        <v>0</v>
      </c>
    </row>
    <row r="165" spans="1:17" s="7" customFormat="1" ht="78.75" x14ac:dyDescent="0.25">
      <c r="A165" s="190">
        <f t="shared" si="2"/>
        <v>154</v>
      </c>
      <c r="B165" s="139" t="s">
        <v>352</v>
      </c>
      <c r="C165" s="137" t="s">
        <v>370</v>
      </c>
      <c r="D165" s="139" t="s">
        <v>373</v>
      </c>
      <c r="E165" s="139" t="s">
        <v>144</v>
      </c>
      <c r="F165" s="139" t="s">
        <v>374</v>
      </c>
      <c r="G165" s="139" t="s">
        <v>710</v>
      </c>
      <c r="H165" s="139" t="str">
        <f>'[6]Resumen Mensual Gregory P Sep20'!H25</f>
        <v>Inaugurado</v>
      </c>
      <c r="I165" s="209">
        <f>'[6]Resumen Mensual Gregory P Sep20'!I25</f>
        <v>0</v>
      </c>
      <c r="J165" s="253" t="str">
        <f>'[6]Resumen Mensual Gregory P Sep20'!J25</f>
        <v xml:space="preserve"> CAIPI inaugurado. Queda pendientes:  pintando de paragoma en parqueo y mantenimiento a la grama y paisajismo.</v>
      </c>
      <c r="K165" s="159" t="str">
        <f>'[6]Resumen Mensual Gregory P Sep20'!K25</f>
        <v>18.590883, -68.978243</v>
      </c>
      <c r="L165" s="159" t="str">
        <f>'[6]Resumen Mensual Gregory P Sep20'!L25</f>
        <v>1N</v>
      </c>
      <c r="M165" s="22" t="str">
        <f>'[6]Resumen Mensual Gregory P Sep20'!M25</f>
        <v>Amaury Medina Diaz</v>
      </c>
      <c r="N165" s="139" t="str">
        <f>'[6]Resumen Mensual Gregory P Sep20'!N25</f>
        <v>(809)760-4098</v>
      </c>
      <c r="O165" s="154" t="str">
        <f>'[6]Resumen Mensual Gregory P Sep20'!O25</f>
        <v>ing.medina35@gmail.com</v>
      </c>
      <c r="P165" s="139" t="str">
        <f>'[6]Resumen Mensual Gregory P Sep20'!P25</f>
        <v>2DO</v>
      </c>
      <c r="Q165" s="141">
        <f>'[6]Resumen Mensual Gregory P Sep20'!Q25</f>
        <v>1</v>
      </c>
    </row>
    <row r="166" spans="1:17" s="7" customFormat="1" ht="47.25" x14ac:dyDescent="0.25">
      <c r="A166" s="190">
        <f t="shared" si="2"/>
        <v>155</v>
      </c>
      <c r="B166" s="139" t="s">
        <v>352</v>
      </c>
      <c r="C166" s="137" t="s">
        <v>370</v>
      </c>
      <c r="D166" s="139" t="s">
        <v>375</v>
      </c>
      <c r="E166" s="139" t="s">
        <v>144</v>
      </c>
      <c r="F166" s="139" t="s">
        <v>376</v>
      </c>
      <c r="G166" s="139" t="s">
        <v>377</v>
      </c>
      <c r="H166" s="139" t="str">
        <f>'[6]Resumen Mensual Gregory P Sep20'!H26</f>
        <v>Inaugurado</v>
      </c>
      <c r="I166" s="209">
        <f>'[6]Resumen Mensual Gregory P Sep20'!I26</f>
        <v>0</v>
      </c>
      <c r="J166" s="253">
        <f>'[6]Resumen Mensual Gregory P Sep20'!J26</f>
        <v>0</v>
      </c>
      <c r="K166" s="159" t="str">
        <f>'[6]Resumen Mensual Gregory P Sep20'!K26</f>
        <v>18.438787, -69.000212</v>
      </c>
      <c r="L166" s="159" t="str">
        <f>'[6]Resumen Mensual Gregory P Sep20'!L26</f>
        <v>2N</v>
      </c>
      <c r="M166" s="139" t="str">
        <f>'[6]Resumen Mensual Gregory P Sep20'!M26</f>
        <v>Héctor Román Aquino Castillo</v>
      </c>
      <c r="N166" s="139" t="str">
        <f>'[6]Resumen Mensual Gregory P Sep20'!N26</f>
        <v>809-875-1641</v>
      </c>
      <c r="O166" s="154" t="str">
        <f>'[6]Resumen Mensual Gregory P Sep20'!O26</f>
        <v>haquinocastillo@gmail.com</v>
      </c>
      <c r="P166" s="139" t="str">
        <f>'[6]Resumen Mensual Gregory P Sep20'!P26</f>
        <v>1ER</v>
      </c>
      <c r="Q166" s="141">
        <f>'[6]Resumen Mensual Gregory P Sep20'!Q26</f>
        <v>1</v>
      </c>
    </row>
    <row r="167" spans="1:17" s="7" customFormat="1" ht="31.5" x14ac:dyDescent="0.25">
      <c r="A167" s="190">
        <f t="shared" si="2"/>
        <v>156</v>
      </c>
      <c r="B167" s="139" t="s">
        <v>352</v>
      </c>
      <c r="C167" s="137" t="s">
        <v>370</v>
      </c>
      <c r="D167" s="139" t="s">
        <v>375</v>
      </c>
      <c r="E167" s="139" t="s">
        <v>144</v>
      </c>
      <c r="F167" s="139" t="s">
        <v>378</v>
      </c>
      <c r="G167" s="139" t="s">
        <v>378</v>
      </c>
      <c r="H167" s="139" t="str">
        <f>'[6]Resumen Mensual Gregory P Sep20'!H27</f>
        <v>Inaugurado</v>
      </c>
      <c r="I167" s="209">
        <f>'[6]Resumen Mensual Gregory P Sep20'!I27</f>
        <v>0</v>
      </c>
      <c r="J167" s="253">
        <f>'[6]Resumen Mensual Gregory P Sep20'!J27</f>
        <v>0</v>
      </c>
      <c r="K167" s="159" t="str">
        <f>'[6]Resumen Mensual Gregory P Sep20'!K27</f>
        <v>18.441956, -69.019828</v>
      </c>
      <c r="L167" s="159" t="str">
        <f>'[6]Resumen Mensual Gregory P Sep20'!L27</f>
        <v>1N</v>
      </c>
      <c r="M167" s="22" t="str">
        <f>'[6]Resumen Mensual Gregory P Sep20'!M27</f>
        <v>Ramon Mejia</v>
      </c>
      <c r="N167" s="139" t="str">
        <f>'[6]Resumen Mensual Gregory P Sep20'!N27</f>
        <v>(809)819-6784</v>
      </c>
      <c r="O167" s="154" t="str">
        <f>'[6]Resumen Mensual Gregory P Sep20'!O27</f>
        <v>obramsa@yahoo.com</v>
      </c>
      <c r="P167" s="139" t="str">
        <f>'[6]Resumen Mensual Gregory P Sep20'!P27</f>
        <v>2DO</v>
      </c>
      <c r="Q167" s="141">
        <f>'[6]Resumen Mensual Gregory P Sep20'!Q27</f>
        <v>1</v>
      </c>
    </row>
    <row r="168" spans="1:17" s="7" customFormat="1" ht="94.5" x14ac:dyDescent="0.25">
      <c r="A168" s="190">
        <f t="shared" si="2"/>
        <v>157</v>
      </c>
      <c r="B168" s="139" t="s">
        <v>352</v>
      </c>
      <c r="C168" s="137" t="s">
        <v>370</v>
      </c>
      <c r="D168" s="139" t="s">
        <v>375</v>
      </c>
      <c r="E168" s="139" t="s">
        <v>144</v>
      </c>
      <c r="F168" s="139" t="s">
        <v>379</v>
      </c>
      <c r="G168" s="139" t="s">
        <v>379</v>
      </c>
      <c r="H168" s="139" t="str">
        <f>'[6]Resumen Mensual Gregory P Sep20'!H28</f>
        <v>Detenido</v>
      </c>
      <c r="I168" s="209">
        <f>'[6]Resumen Mensual Gregory P Sep20'!I28</f>
        <v>0</v>
      </c>
      <c r="J168" s="253" t="str">
        <f>'[6]Resumen Mensual Gregory P Sep20'!J28</f>
        <v xml:space="preserve">
CAIPI detenido. Este contratista tiene recursos del estado desde noviembre del 2018. y no está trabajando sin ninguna justificación.</v>
      </c>
      <c r="K168" s="159" t="str">
        <f>'[6]Resumen Mensual Gregory P Sep20'!K28</f>
        <v>18.457249, -69.015298</v>
      </c>
      <c r="L168" s="159" t="str">
        <f>'[6]Resumen Mensual Gregory P Sep20'!L28</f>
        <v>1N</v>
      </c>
      <c r="M168" s="139" t="str">
        <f>'[6]Resumen Mensual Gregory P Sep20'!M28</f>
        <v>Fermin, Aquino &amp; Heriveaux SRL/ R. I. Aquino</v>
      </c>
      <c r="N168" s="139" t="str">
        <f>'[6]Resumen Mensual Gregory P Sep20'!N28</f>
        <v>(809)819-6784</v>
      </c>
      <c r="O168" s="154" t="str">
        <f>'[6]Resumen Mensual Gregory P Sep20'!O28</f>
        <v>j.heriveaux@me.com</v>
      </c>
      <c r="P168" s="139" t="str">
        <f>'[6]Resumen Mensual Gregory P Sep20'!P28</f>
        <v>1ER</v>
      </c>
      <c r="Q168" s="141">
        <f>'[6]Resumen Mensual Gregory P Sep20'!Q28</f>
        <v>0.09</v>
      </c>
    </row>
    <row r="169" spans="1:17" s="7" customFormat="1" ht="31.5" x14ac:dyDescent="0.25">
      <c r="A169" s="190">
        <f t="shared" si="2"/>
        <v>158</v>
      </c>
      <c r="B169" s="145" t="s">
        <v>352</v>
      </c>
      <c r="C169" s="137" t="s">
        <v>370</v>
      </c>
      <c r="D169" s="145" t="s">
        <v>375</v>
      </c>
      <c r="E169" s="145" t="s">
        <v>144</v>
      </c>
      <c r="F169" s="145" t="s">
        <v>380</v>
      </c>
      <c r="G169" s="145" t="s">
        <v>380</v>
      </c>
      <c r="H169" s="145" t="str">
        <f>'[6]Resumen Mensual Gregory P Sep20'!H29</f>
        <v>Inaugurado</v>
      </c>
      <c r="I169" s="212">
        <f>'[6]Resumen Mensual Gregory P Sep20'!I29</f>
        <v>0</v>
      </c>
      <c r="J169" s="252">
        <f>'[6]Resumen Mensual Gregory P Sep20'!J29</f>
        <v>0</v>
      </c>
      <c r="K169" s="188" t="str">
        <f>'[6]Resumen Mensual Gregory P Sep20'!K29</f>
        <v>18.459553, -69.019643</v>
      </c>
      <c r="L169" s="188" t="str">
        <f>'[6]Resumen Mensual Gregory P Sep20'!L29</f>
        <v>1N</v>
      </c>
      <c r="M169" s="23" t="str">
        <f>'[6]Resumen Mensual Gregory P Sep20'!M29</f>
        <v>Luis Alberto Calderon Taveras</v>
      </c>
      <c r="N169" s="145" t="str">
        <f>'[6]Resumen Mensual Gregory P Sep20'!N29</f>
        <v>(849)853-1226</v>
      </c>
      <c r="O169" s="155" t="str">
        <f>'[6]Resumen Mensual Gregory P Sep20'!O29</f>
        <v>Louistaveras85@hotmail.es</v>
      </c>
      <c r="P169" s="145" t="str">
        <f>'[6]Resumen Mensual Gregory P Sep20'!P29</f>
        <v>2DO</v>
      </c>
      <c r="Q169" s="142">
        <f>'[6]Resumen Mensual Gregory P Sep20'!Q29</f>
        <v>1</v>
      </c>
    </row>
    <row r="170" spans="1:17" s="7" customFormat="1" ht="31.5" x14ac:dyDescent="0.25">
      <c r="A170" s="190">
        <f t="shared" si="2"/>
        <v>159</v>
      </c>
      <c r="B170" s="137" t="s">
        <v>352</v>
      </c>
      <c r="C170" s="137" t="s">
        <v>381</v>
      </c>
      <c r="D170" s="137" t="s">
        <v>382</v>
      </c>
      <c r="E170" s="137" t="s">
        <v>198</v>
      </c>
      <c r="F170" s="137" t="s">
        <v>383</v>
      </c>
      <c r="G170" s="137" t="s">
        <v>384</v>
      </c>
      <c r="H170" s="137" t="str">
        <f>'[6]Resumen Mensual Gregory P Sep20'!H30</f>
        <v>Inaugurado</v>
      </c>
      <c r="I170" s="213">
        <f>'[6]Resumen Mensual Gregory P Sep20'!I30</f>
        <v>0</v>
      </c>
      <c r="J170" s="251">
        <f>'[6]Resumen Mensual Gregory P Sep20'!J30</f>
        <v>0</v>
      </c>
      <c r="K170" s="195" t="str">
        <f>'[6]Resumen Mensual Gregory P Sep20'!K30</f>
        <v>18.591615, -68.708961</v>
      </c>
      <c r="L170" s="195" t="str">
        <f>'[6]Resumen Mensual Gregory P Sep20'!L30</f>
        <v>2N</v>
      </c>
      <c r="M170" s="137" t="str">
        <f>'[6]Resumen Mensual Gregory P Sep20'!M30</f>
        <v>Ma. Salomé Díaz Mercedes</v>
      </c>
      <c r="N170" s="137">
        <f>'[6]Resumen Mensual Gregory P Sep20'!N30</f>
        <v>0</v>
      </c>
      <c r="O170" s="153">
        <f>'[6]Resumen Mensual Gregory P Sep20'!O30</f>
        <v>0</v>
      </c>
      <c r="P170" s="137" t="str">
        <f>'[6]Resumen Mensual Gregory P Sep20'!P30</f>
        <v>1ER</v>
      </c>
      <c r="Q170" s="149">
        <f>'[6]Resumen Mensual Gregory P Sep20'!Q30</f>
        <v>1</v>
      </c>
    </row>
    <row r="171" spans="1:17" s="7" customFormat="1" ht="92.25" customHeight="1" x14ac:dyDescent="0.25">
      <c r="A171" s="190">
        <f t="shared" si="2"/>
        <v>160</v>
      </c>
      <c r="B171" s="139" t="s">
        <v>352</v>
      </c>
      <c r="C171" s="137" t="s">
        <v>381</v>
      </c>
      <c r="D171" s="139" t="s">
        <v>382</v>
      </c>
      <c r="E171" s="139" t="s">
        <v>198</v>
      </c>
      <c r="F171" s="139" t="s">
        <v>385</v>
      </c>
      <c r="G171" s="139" t="s">
        <v>709</v>
      </c>
      <c r="H171" s="139" t="str">
        <f>'[6]Resumen Mensual Gregory P Sep20'!H31</f>
        <v>Detenido pago cubicación</v>
      </c>
      <c r="I171" s="209">
        <f>'[6]Resumen Mensual Gregory P Sep20'!I31</f>
        <v>0</v>
      </c>
      <c r="J171" s="253" t="str">
        <f>'[6]Resumen Mensual Gregory P Sep20'!J31</f>
        <v>CAIPI detenido por cubicación. Estaban pintando la verja perimetral y dando retoques pinturas de colores a los módulos.</v>
      </c>
      <c r="K171" s="159" t="str">
        <f>'[6]Resumen Mensual Gregory P Sep20'!K31</f>
        <v>18.609022, -68.71009</v>
      </c>
      <c r="L171" s="159" t="str">
        <f>'[6]Resumen Mensual Gregory P Sep20'!L31</f>
        <v>1N</v>
      </c>
      <c r="M171" s="139" t="str">
        <f>'[6]Resumen Mensual Gregory P Sep20'!M31</f>
        <v>CONSERMANCA,SRL/Darío A. Yunes</v>
      </c>
      <c r="N171" s="139" t="str">
        <f>'[6]Resumen Mensual Gregory P Sep20'!N31</f>
        <v>(829)580-4025</v>
      </c>
      <c r="O171" s="154" t="str">
        <f>'[6]Resumen Mensual Gregory P Sep20'!O31</f>
        <v>d.y.25@gmai.com</v>
      </c>
      <c r="P171" s="139" t="str">
        <f>'[6]Resumen Mensual Gregory P Sep20'!P31</f>
        <v>1ER</v>
      </c>
      <c r="Q171" s="141">
        <f>'[6]Resumen Mensual Gregory P Sep20'!Q31</f>
        <v>0.87</v>
      </c>
    </row>
    <row r="172" spans="1:17" s="7" customFormat="1" ht="47.25" x14ac:dyDescent="0.25">
      <c r="A172" s="190">
        <f t="shared" si="2"/>
        <v>161</v>
      </c>
      <c r="B172" s="139" t="s">
        <v>352</v>
      </c>
      <c r="C172" s="137" t="s">
        <v>381</v>
      </c>
      <c r="D172" s="139" t="s">
        <v>382</v>
      </c>
      <c r="E172" s="139" t="s">
        <v>198</v>
      </c>
      <c r="F172" s="139" t="s">
        <v>386</v>
      </c>
      <c r="G172" s="139" t="s">
        <v>387</v>
      </c>
      <c r="H172" s="139" t="str">
        <f>'[6]Resumen Mensual Gregory P Sep20'!H32</f>
        <v>Inaugurado</v>
      </c>
      <c r="I172" s="209">
        <f>'[6]Resumen Mensual Gregory P Sep20'!I32</f>
        <v>0</v>
      </c>
      <c r="J172" s="253">
        <f>'[6]Resumen Mensual Gregory P Sep20'!J32</f>
        <v>0</v>
      </c>
      <c r="K172" s="159" t="str">
        <f>'[6]Resumen Mensual Gregory P Sep20'!K32</f>
        <v>18.635468, -68.714987</v>
      </c>
      <c r="L172" s="159" t="str">
        <f>'[6]Resumen Mensual Gregory P Sep20'!L32</f>
        <v>2N</v>
      </c>
      <c r="M172" s="139" t="str">
        <f>'[6]Resumen Mensual Gregory P Sep20'!M32</f>
        <v>Willians Antonio Martínez Jiménez</v>
      </c>
      <c r="N172" s="139" t="str">
        <f>'[6]Resumen Mensual Gregory P Sep20'!N32</f>
        <v>829-679-4318/829-924-3804</v>
      </c>
      <c r="O172" s="154" t="str">
        <f>'[6]Resumen Mensual Gregory P Sep20'!O32</f>
        <v>yeselisjimenez@yahoo.es</v>
      </c>
      <c r="P172" s="139" t="str">
        <f>'[6]Resumen Mensual Gregory P Sep20'!P32</f>
        <v>1ER</v>
      </c>
      <c r="Q172" s="141">
        <f>'[6]Resumen Mensual Gregory P Sep20'!Q32</f>
        <v>1</v>
      </c>
    </row>
    <row r="173" spans="1:17" s="7" customFormat="1" ht="126" x14ac:dyDescent="0.25">
      <c r="A173" s="190">
        <f t="shared" si="2"/>
        <v>162</v>
      </c>
      <c r="B173" s="139" t="s">
        <v>352</v>
      </c>
      <c r="C173" s="137" t="s">
        <v>381</v>
      </c>
      <c r="D173" s="139" t="s">
        <v>382</v>
      </c>
      <c r="E173" s="139" t="s">
        <v>198</v>
      </c>
      <c r="F173" s="139" t="s">
        <v>386</v>
      </c>
      <c r="G173" s="139" t="s">
        <v>708</v>
      </c>
      <c r="H173" s="139" t="str">
        <f>'[6]Resumen Mensual Gregory P Sep20'!H33</f>
        <v>Inaugurado</v>
      </c>
      <c r="I173" s="209">
        <f>'[6]Resumen Mensual Gregory P Sep20'!I33</f>
        <v>0</v>
      </c>
      <c r="J173" s="253" t="str">
        <f>'[6]Resumen Mensual Gregory P Sep20'!J33</f>
        <v>CAIPI inaugurado.   Queda pendiente continuar con los alerones entre la terraza y el comedor, la escalera para dar mantenimiento del tinaco, el alambrado a las luces led del patio y la adecuación de la cocina a los requerimientos del INAIPI.</v>
      </c>
      <c r="K173" s="159" t="str">
        <f>'[6]Resumen Mensual Gregory P Sep20'!K33</f>
        <v>18.630203,-68.714376</v>
      </c>
      <c r="L173" s="159" t="str">
        <f>'[6]Resumen Mensual Gregory P Sep20'!L33</f>
        <v>1N</v>
      </c>
      <c r="M173" s="22" t="str">
        <f>'[6]Resumen Mensual Gregory P Sep20'!M33</f>
        <v>Edgar Rafael V. Ramirez de la Rosa</v>
      </c>
      <c r="N173" s="139" t="str">
        <f>'[6]Resumen Mensual Gregory P Sep20'!N33</f>
        <v>(809)756-1114</v>
      </c>
      <c r="O173" s="154" t="str">
        <f>'[6]Resumen Mensual Gregory P Sep20'!O33</f>
        <v>ramdlrosa28@hotmail.com</v>
      </c>
      <c r="P173" s="139" t="str">
        <f>'[6]Resumen Mensual Gregory P Sep20'!P33</f>
        <v>2DO</v>
      </c>
      <c r="Q173" s="141">
        <f>'[6]Resumen Mensual Gregory P Sep20'!Q33</f>
        <v>1</v>
      </c>
    </row>
    <row r="174" spans="1:17" s="7" customFormat="1" ht="47.25" x14ac:dyDescent="0.25">
      <c r="A174" s="190">
        <f t="shared" si="2"/>
        <v>163</v>
      </c>
      <c r="B174" s="139" t="s">
        <v>352</v>
      </c>
      <c r="C174" s="137" t="s">
        <v>381</v>
      </c>
      <c r="D174" s="139" t="s">
        <v>388</v>
      </c>
      <c r="E174" s="139" t="s">
        <v>158</v>
      </c>
      <c r="F174" s="139" t="s">
        <v>389</v>
      </c>
      <c r="G174" s="139" t="s">
        <v>390</v>
      </c>
      <c r="H174" s="139" t="str">
        <f>'[6]Resumen Mensual Gregory P Sep20'!H34</f>
        <v>Inaugurado</v>
      </c>
      <c r="I174" s="209">
        <f>'[6]Resumen Mensual Gregory P Sep20'!I34</f>
        <v>0</v>
      </c>
      <c r="J174" s="253">
        <f>'[6]Resumen Mensual Gregory P Sep20'!J34</f>
        <v>0</v>
      </c>
      <c r="K174" s="159" t="str">
        <f>'[6]Resumen Mensual Gregory P Sep20'!K34</f>
        <v>18.593957, -68.434953</v>
      </c>
      <c r="L174" s="159" t="str">
        <f>'[6]Resumen Mensual Gregory P Sep20'!L34</f>
        <v>2N</v>
      </c>
      <c r="M174" s="341" t="str">
        <f>'[6]Resumen Mensual Gregory P Sep20'!M34</f>
        <v>Erick Dael Yrizarry de la Cruz</v>
      </c>
      <c r="N174" s="139">
        <f>'[6]Resumen Mensual Gregory P Sep20'!N34</f>
        <v>0</v>
      </c>
      <c r="O174" s="154">
        <f>'[6]Resumen Mensual Gregory P Sep20'!O34</f>
        <v>0</v>
      </c>
      <c r="P174" s="139" t="str">
        <f>'[6]Resumen Mensual Gregory P Sep20'!P34</f>
        <v>1ER</v>
      </c>
      <c r="Q174" s="152">
        <f>'[6]Resumen Mensual Gregory P Sep20'!Q34</f>
        <v>1</v>
      </c>
    </row>
    <row r="175" spans="1:17" s="7" customFormat="1" ht="78.75" x14ac:dyDescent="0.25">
      <c r="A175" s="190">
        <f t="shared" si="2"/>
        <v>164</v>
      </c>
      <c r="B175" s="139" t="s">
        <v>352</v>
      </c>
      <c r="C175" s="137" t="s">
        <v>381</v>
      </c>
      <c r="D175" s="139" t="s">
        <v>391</v>
      </c>
      <c r="E175" s="139" t="s">
        <v>158</v>
      </c>
      <c r="F175" s="139" t="s">
        <v>392</v>
      </c>
      <c r="G175" s="139" t="s">
        <v>707</v>
      </c>
      <c r="H175" s="139" t="str">
        <f>'[6]Resumen Mensual Gregory P Sep20'!H35</f>
        <v>Detenido pago cubicación</v>
      </c>
      <c r="I175" s="209">
        <f>'[6]Resumen Mensual Gregory P Sep20'!I35</f>
        <v>0</v>
      </c>
      <c r="J175" s="253" t="str">
        <f>'[6]Resumen Mensual Gregory P Sep20'!J35</f>
        <v>CAIPI detenido por cubicación. Colocó pisos en los distintos módulos, en espera de recursos para continuar, detenido desde marzo 2020.</v>
      </c>
      <c r="K175" s="188" t="str">
        <f>'[6]Resumen Mensual Gregory P Sep20'!K35</f>
        <v>18.593734, -68.407064</v>
      </c>
      <c r="L175" s="159" t="str">
        <f>'[6]Resumen Mensual Gregory P Sep20'!L35</f>
        <v>1N</v>
      </c>
      <c r="M175" s="22" t="str">
        <f>'[6]Resumen Mensual Gregory P Sep20'!M35</f>
        <v>Starlin Andres Martinez Grullon</v>
      </c>
      <c r="N175" s="139" t="str">
        <f>'[6]Resumen Mensual Gregory P Sep20'!N35</f>
        <v>(809)907-6205</v>
      </c>
      <c r="O175" s="154" t="str">
        <f>'[6]Resumen Mensual Gregory P Sep20'!O35</f>
        <v>starlin_martinez01@hotmail.com</v>
      </c>
      <c r="P175" s="139" t="str">
        <f>'[6]Resumen Mensual Gregory P Sep20'!P35</f>
        <v>2DO</v>
      </c>
      <c r="Q175" s="152">
        <f>'[6]Resumen Mensual Gregory P Sep20'!Q35</f>
        <v>0.69</v>
      </c>
    </row>
    <row r="176" spans="1:17" s="7" customFormat="1" ht="94.5" x14ac:dyDescent="0.25">
      <c r="A176" s="190">
        <f t="shared" si="2"/>
        <v>165</v>
      </c>
      <c r="B176" s="139" t="s">
        <v>352</v>
      </c>
      <c r="C176" s="137" t="s">
        <v>381</v>
      </c>
      <c r="D176" s="139" t="s">
        <v>388</v>
      </c>
      <c r="E176" s="139" t="s">
        <v>158</v>
      </c>
      <c r="F176" s="139" t="s">
        <v>393</v>
      </c>
      <c r="G176" s="139" t="s">
        <v>706</v>
      </c>
      <c r="H176" s="139" t="str">
        <f>'[6]Resumen Mensual Gregory P Sep20'!H36</f>
        <v>Inaugurado</v>
      </c>
      <c r="I176" s="209">
        <f>'[6]Resumen Mensual Gregory P Sep20'!I36</f>
        <v>0</v>
      </c>
      <c r="J176" s="253" t="str">
        <f>'[6]Resumen Mensual Gregory P Sep20'!J36</f>
        <v>CAIPI inaugurado. Queda pendiente 12 abanicos que le fueron robados. El contratista está esperando que el INAIPI le reciba y envié la seguridad para instalar dichos abanicos.</v>
      </c>
      <c r="K176" s="188" t="str">
        <f>'[6]Resumen Mensual Gregory P Sep20'!K36</f>
        <v>18.679368, -68.456223</v>
      </c>
      <c r="L176" s="159" t="str">
        <f>'[6]Resumen Mensual Gregory P Sep20'!L36</f>
        <v>2N</v>
      </c>
      <c r="M176" s="22" t="str">
        <f>'[6]Resumen Mensual Gregory P Sep20'!M36</f>
        <v>Joan Manuel Pillier Rodriguez</v>
      </c>
      <c r="N176" s="139" t="str">
        <f>'[6]Resumen Mensual Gregory P Sep20'!N36</f>
        <v>(829)284-8411</v>
      </c>
      <c r="O176" s="139" t="str">
        <f>'[6]Resumen Mensual Gregory P Sep20'!O36</f>
        <v>arq_pillier@hotmail.com</v>
      </c>
      <c r="P176" s="139" t="str">
        <f>'[6]Resumen Mensual Gregory P Sep20'!P36</f>
        <v>2DO</v>
      </c>
      <c r="Q176" s="141">
        <f>'[6]Resumen Mensual Gregory P Sep20'!Q36</f>
        <v>1</v>
      </c>
    </row>
    <row r="177" spans="1:25" s="7" customFormat="1" ht="159" customHeight="1" x14ac:dyDescent="0.25">
      <c r="A177" s="190">
        <f t="shared" si="2"/>
        <v>166</v>
      </c>
      <c r="B177" s="145" t="s">
        <v>352</v>
      </c>
      <c r="C177" s="137" t="s">
        <v>381</v>
      </c>
      <c r="D177" s="220" t="s">
        <v>394</v>
      </c>
      <c r="E177" s="145" t="s">
        <v>144</v>
      </c>
      <c r="F177" s="220" t="s">
        <v>608</v>
      </c>
      <c r="G177" s="220" t="s">
        <v>659</v>
      </c>
      <c r="H177" s="145" t="str">
        <f>'[6]Resumen Mensual Gregory P Sep20'!H37</f>
        <v>Detenido pago terreno</v>
      </c>
      <c r="I177" s="212">
        <f>'[6]Resumen Mensual Gregory P Sep20'!I37</f>
        <v>0</v>
      </c>
      <c r="J177" s="252" t="str">
        <f>'[6]Resumen Mensual Gregory P Sep20'!J37</f>
        <v>CAIPI detenido pago terreno. El 15 de enero, El MOPC entregó todos los planos a la contratista. Está esperando que el MINERD pague el terreno, para que los dueños le permitan iniciar el proyecto</v>
      </c>
      <c r="K177" s="188" t="str">
        <f>'[6]Resumen Mensual Gregory P Sep20'!K37</f>
        <v>18.423116, -68.676629</v>
      </c>
      <c r="L177" s="188" t="str">
        <f>'[6]Resumen Mensual Gregory P Sep20'!L37</f>
        <v>1N</v>
      </c>
      <c r="M177" s="23" t="str">
        <f>'[6]Resumen Mensual Gregory P Sep20'!M37</f>
        <v>Cundinamarca Investments SRL/Rene Diaz</v>
      </c>
      <c r="N177" s="145" t="str">
        <f>'[6]Resumen Mensual Gregory P Sep20'!N37</f>
        <v>(809)886-0061</v>
      </c>
      <c r="O177" s="145" t="str">
        <f>'[6]Resumen Mensual Gregory P Sep20'!O37</f>
        <v>cundinamarca049@gmail.com</v>
      </c>
      <c r="P177" s="145" t="str">
        <f>'[6]Resumen Mensual Gregory P Sep20'!P37</f>
        <v>2DO</v>
      </c>
      <c r="Q177" s="147">
        <f>'[6]Resumen Mensual Gregory P Sep20'!Q37</f>
        <v>0</v>
      </c>
    </row>
    <row r="178" spans="1:25" s="7" customFormat="1" ht="31.5" x14ac:dyDescent="0.25">
      <c r="A178" s="190">
        <f t="shared" si="2"/>
        <v>167</v>
      </c>
      <c r="B178" s="137" t="s">
        <v>395</v>
      </c>
      <c r="C178" s="137" t="s">
        <v>396</v>
      </c>
      <c r="D178" s="137" t="s">
        <v>397</v>
      </c>
      <c r="E178" s="137" t="s">
        <v>198</v>
      </c>
      <c r="F178" s="137" t="s">
        <v>398</v>
      </c>
      <c r="G178" s="137" t="s">
        <v>399</v>
      </c>
      <c r="H178" s="137" t="str">
        <f>'[7]Resumen Anny Almanzar septi2020'!H10</f>
        <v>Inaugurado</v>
      </c>
      <c r="I178" s="227">
        <f>'[7]Resumen Anny Almanzar septi2020'!I10</f>
        <v>0</v>
      </c>
      <c r="J178" s="251">
        <f>'[7]Resumen Anny Almanzar septi2020'!J10</f>
        <v>0</v>
      </c>
      <c r="K178" s="195" t="str">
        <f>'[7]Resumen Anny Almanzar septi2020'!K10</f>
        <v>19.314685, -70.275780</v>
      </c>
      <c r="L178" s="195" t="str">
        <f>'[7]Resumen Anny Almanzar septi2020'!L10</f>
        <v>1N</v>
      </c>
      <c r="M178" s="137" t="str">
        <f>'[7]Resumen Anny Almanzar septi2020'!M10</f>
        <v>Miguerl Duarte Bnatista</v>
      </c>
      <c r="N178" s="137">
        <f>'[7]Resumen Anny Almanzar septi2020'!N10</f>
        <v>0</v>
      </c>
      <c r="O178" s="137">
        <f>'[7]Resumen Anny Almanzar septi2020'!O10</f>
        <v>0</v>
      </c>
      <c r="P178" s="137" t="str">
        <f>'[7]Resumen Anny Almanzar septi2020'!P10</f>
        <v>1ER</v>
      </c>
      <c r="Q178" s="149">
        <f>'[7]Resumen Anny Almanzar septi2020'!Q10</f>
        <v>1</v>
      </c>
      <c r="Y178" s="327"/>
    </row>
    <row r="179" spans="1:25" s="7" customFormat="1" ht="31.5" x14ac:dyDescent="0.25">
      <c r="A179" s="190">
        <f t="shared" si="2"/>
        <v>168</v>
      </c>
      <c r="B179" s="139" t="s">
        <v>395</v>
      </c>
      <c r="C179" s="137" t="s">
        <v>396</v>
      </c>
      <c r="D179" s="139" t="s">
        <v>397</v>
      </c>
      <c r="E179" s="139" t="s">
        <v>198</v>
      </c>
      <c r="F179" s="139" t="s">
        <v>156</v>
      </c>
      <c r="G179" s="139" t="s">
        <v>400</v>
      </c>
      <c r="H179" s="139" t="str">
        <f>'[7]Resumen Anny Almanzar septi2020'!H11</f>
        <v>Inaugurado</v>
      </c>
      <c r="I179" s="216">
        <f>'[7]Resumen Anny Almanzar septi2020'!I11</f>
        <v>0</v>
      </c>
      <c r="J179" s="253">
        <f>'[7]Resumen Anny Almanzar septi2020'!J11</f>
        <v>0</v>
      </c>
      <c r="K179" s="159" t="str">
        <f>'[7]Resumen Anny Almanzar septi2020'!K11</f>
        <v>19.301732, -70.251182</v>
      </c>
      <c r="L179" s="159">
        <f>'[7]Resumen Anny Almanzar septi2020'!L11</f>
        <v>0</v>
      </c>
      <c r="M179" s="139" t="str">
        <f>'[7]Resumen Anny Almanzar septi2020'!M11</f>
        <v>Kelen Eucudes Paredes Brito</v>
      </c>
      <c r="N179" s="139">
        <f>'[7]Resumen Anny Almanzar septi2020'!N11</f>
        <v>0</v>
      </c>
      <c r="O179" s="139">
        <f>'[7]Resumen Anny Almanzar septi2020'!O11</f>
        <v>0</v>
      </c>
      <c r="P179" s="139" t="str">
        <f>'[7]Resumen Anny Almanzar septi2020'!P11</f>
        <v>1ER</v>
      </c>
      <c r="Q179" s="152">
        <f>'[7]Resumen Anny Almanzar septi2020'!Q11</f>
        <v>1</v>
      </c>
    </row>
    <row r="180" spans="1:25" s="7" customFormat="1" ht="31.5" x14ac:dyDescent="0.25">
      <c r="A180" s="190">
        <f t="shared" si="2"/>
        <v>169</v>
      </c>
      <c r="B180" s="139" t="s">
        <v>395</v>
      </c>
      <c r="C180" s="137" t="s">
        <v>396</v>
      </c>
      <c r="D180" s="139" t="s">
        <v>397</v>
      </c>
      <c r="E180" s="139" t="s">
        <v>198</v>
      </c>
      <c r="F180" s="139" t="s">
        <v>401</v>
      </c>
      <c r="G180" s="139" t="s">
        <v>402</v>
      </c>
      <c r="H180" s="139" t="str">
        <f>'[7]Resumen Anny Almanzar septi2020'!H12</f>
        <v>Inaugurado</v>
      </c>
      <c r="I180" s="216">
        <f>'[7]Resumen Anny Almanzar septi2020'!I12</f>
        <v>0</v>
      </c>
      <c r="J180" s="253">
        <f>'[7]Resumen Anny Almanzar septi2020'!J12</f>
        <v>0</v>
      </c>
      <c r="K180" s="196" t="str">
        <f>'[7]Resumen Anny Almanzar septi2020'!K12</f>
        <v>19.286353, -70.257545</v>
      </c>
      <c r="L180" s="158">
        <f>'[7]Resumen Anny Almanzar septi2020'!L12</f>
        <v>0</v>
      </c>
      <c r="M180" s="139" t="str">
        <f>'[7]Resumen Anny Almanzar septi2020'!M12</f>
        <v>José Orlando Muñoz Monsanto</v>
      </c>
      <c r="N180" s="139">
        <f>'[7]Resumen Anny Almanzar septi2020'!N12</f>
        <v>0</v>
      </c>
      <c r="O180" s="139">
        <f>'[7]Resumen Anny Almanzar septi2020'!O12</f>
        <v>0</v>
      </c>
      <c r="P180" s="139" t="str">
        <f>'[7]Resumen Anny Almanzar septi2020'!P12</f>
        <v>1ER</v>
      </c>
      <c r="Q180" s="152">
        <f>'[7]Resumen Anny Almanzar septi2020'!Q12</f>
        <v>1</v>
      </c>
    </row>
    <row r="181" spans="1:25" s="7" customFormat="1" ht="31.5" x14ac:dyDescent="0.25">
      <c r="A181" s="190">
        <f t="shared" si="2"/>
        <v>170</v>
      </c>
      <c r="B181" s="139" t="s">
        <v>395</v>
      </c>
      <c r="C181" s="137" t="s">
        <v>396</v>
      </c>
      <c r="D181" s="139" t="s">
        <v>397</v>
      </c>
      <c r="E181" s="139" t="s">
        <v>198</v>
      </c>
      <c r="F181" s="139" t="s">
        <v>403</v>
      </c>
      <c r="G181" s="139" t="s">
        <v>404</v>
      </c>
      <c r="H181" s="139" t="str">
        <f>'[7]Resumen Anny Almanzar septi2020'!H13</f>
        <v>Inaugurado</v>
      </c>
      <c r="I181" s="216">
        <f>'[7]Resumen Anny Almanzar septi2020'!I13</f>
        <v>0</v>
      </c>
      <c r="J181" s="249">
        <f>'[7]Resumen Anny Almanzar septi2020'!J13</f>
        <v>0</v>
      </c>
      <c r="K181" s="139" t="str">
        <f>'[7]Resumen Anny Almanzar septi2020'!K13</f>
        <v>19.300639, -70.248623</v>
      </c>
      <c r="L181" s="159" t="str">
        <f>'[7]Resumen Anny Almanzar septi2020'!L13</f>
        <v>2N</v>
      </c>
      <c r="M181" s="139" t="str">
        <f>'[7]Resumen Anny Almanzar septi2020'!M13</f>
        <v>Ramón Francisco Araujo/ Martín Santana</v>
      </c>
      <c r="N181" s="139" t="str">
        <f>'[7]Resumen Anny Almanzar septi2020'!N13</f>
        <v>809-723-5501, 809-683-2791, 809-723-5500</v>
      </c>
      <c r="O181" s="139" t="str">
        <f>'[7]Resumen Anny Almanzar septi2020'!O13</f>
        <v>elcastorconstruye@hotmail.com</v>
      </c>
      <c r="P181" s="139" t="str">
        <f>'[7]Resumen Anny Almanzar septi2020'!P13</f>
        <v>1ER</v>
      </c>
      <c r="Q181" s="152">
        <f>'[7]Resumen Anny Almanzar septi2020'!Q13</f>
        <v>1</v>
      </c>
    </row>
    <row r="182" spans="1:25" s="7" customFormat="1" ht="181.5" customHeight="1" x14ac:dyDescent="0.25">
      <c r="A182" s="190">
        <f t="shared" si="2"/>
        <v>171</v>
      </c>
      <c r="B182" s="139" t="s">
        <v>395</v>
      </c>
      <c r="C182" s="137" t="s">
        <v>396</v>
      </c>
      <c r="D182" s="139" t="s">
        <v>397</v>
      </c>
      <c r="E182" s="139" t="s">
        <v>198</v>
      </c>
      <c r="F182" s="139" t="s">
        <v>405</v>
      </c>
      <c r="G182" s="139" t="s">
        <v>406</v>
      </c>
      <c r="H182" s="139" t="str">
        <f>'[7]Resumen Anny Almanzar septi2020'!H14</f>
        <v>Detenido por planos</v>
      </c>
      <c r="I182" s="139">
        <f>'[7]Resumen Anny Almanzar septi2020'!I14</f>
        <v>0</v>
      </c>
      <c r="J182" s="249" t="str">
        <f>'[7]Resumen Anny Almanzar septi2020'!J14</f>
        <v xml:space="preserve">CAIPI detenido por planos. Se espera una nueva visita del departamento de topografia del MINERD para ratificar unos niveles ya que los planos estructurales están dando muchos muros de contensión. </v>
      </c>
      <c r="K182" s="139" t="str">
        <f>'[7]Resumen Anny Almanzar septi2020'!K14</f>
        <v>19.306694, -70.245929</v>
      </c>
      <c r="L182" s="159" t="str">
        <f>'[7]Resumen Anny Almanzar septi2020'!L14</f>
        <v>2N</v>
      </c>
      <c r="M182" s="22" t="str">
        <f>'[7]Resumen Anny Almanzar septi2020'!M14</f>
        <v>Mizrain Amiher Santos Hernández</v>
      </c>
      <c r="N182" s="139" t="str">
        <f>'[7]Resumen Anny Almanzar septi2020'!N14</f>
        <v>(829)343-5300</v>
      </c>
      <c r="O182" s="139" t="str">
        <f>'[7]Resumen Anny Almanzar septi2020'!O14</f>
        <v>ing.mizsantos@hotmail.com</v>
      </c>
      <c r="P182" s="139" t="str">
        <f>'[7]Resumen Anny Almanzar septi2020'!P14</f>
        <v>2DO</v>
      </c>
      <c r="Q182" s="152">
        <f>'[7]Resumen Anny Almanzar septi2020'!Q14</f>
        <v>0</v>
      </c>
    </row>
    <row r="183" spans="1:25" s="7" customFormat="1" ht="120.75" customHeight="1" x14ac:dyDescent="0.25">
      <c r="A183" s="190">
        <f t="shared" si="2"/>
        <v>172</v>
      </c>
      <c r="B183" s="139" t="s">
        <v>395</v>
      </c>
      <c r="C183" s="137" t="s">
        <v>396</v>
      </c>
      <c r="D183" s="139" t="s">
        <v>397</v>
      </c>
      <c r="E183" s="139" t="s">
        <v>198</v>
      </c>
      <c r="F183" s="139" t="s">
        <v>407</v>
      </c>
      <c r="G183" s="139" t="s">
        <v>705</v>
      </c>
      <c r="H183" s="139" t="str">
        <f>'[7]Resumen Anny Almanzar septi2020'!H15</f>
        <v>Detenido pago cubicación</v>
      </c>
      <c r="I183" s="216">
        <f>'[7]Resumen Anny Almanzar septi2020'!I15</f>
        <v>0</v>
      </c>
      <c r="J183" s="249" t="str">
        <f>'[7]Resumen Anny Almanzar septi2020'!J15</f>
        <v>CAIPI detenido por pago de cubicación. Esta a nivel de pintura de base, los trabajos fueron paralizados a principios de julio 2020 por falta de pago de cubicación.</v>
      </c>
      <c r="K183" s="139" t="str">
        <f>'[7]Resumen Anny Almanzar septi2020'!K15</f>
        <v>19.303084, -70.274522</v>
      </c>
      <c r="L183" s="159" t="str">
        <f>'[7]Resumen Anny Almanzar septi2020'!L15</f>
        <v>1N</v>
      </c>
      <c r="M183" s="22" t="str">
        <f>'[7]Resumen Anny Almanzar septi2020'!M15</f>
        <v>Juan Carlos Díaz Olivo</v>
      </c>
      <c r="N183" s="139" t="str">
        <f>'[7]Resumen Anny Almanzar septi2020'!N15</f>
        <v>(829)765-9480</v>
      </c>
      <c r="O183" s="139" t="str">
        <f>'[7]Resumen Anny Almanzar septi2020'!O15</f>
        <v>arq.juancarlosdiaz@gmail.com</v>
      </c>
      <c r="P183" s="139" t="str">
        <f>'[7]Resumen Anny Almanzar septi2020'!P15</f>
        <v>2DO</v>
      </c>
      <c r="Q183" s="152">
        <f>'[7]Resumen Anny Almanzar septi2020'!Q15</f>
        <v>0.7</v>
      </c>
    </row>
    <row r="184" spans="1:25" s="7" customFormat="1" ht="78.75" x14ac:dyDescent="0.25">
      <c r="A184" s="190">
        <f t="shared" si="2"/>
        <v>173</v>
      </c>
      <c r="B184" s="145" t="s">
        <v>595</v>
      </c>
      <c r="C184" s="145" t="s">
        <v>504</v>
      </c>
      <c r="D184" s="145" t="s">
        <v>591</v>
      </c>
      <c r="E184" s="145" t="s">
        <v>198</v>
      </c>
      <c r="F184" s="145" t="s">
        <v>590</v>
      </c>
      <c r="G184" s="145" t="s">
        <v>590</v>
      </c>
      <c r="H184" s="145" t="str">
        <f>'[8]Matriz Mensual Nolis Jáquez Sep'!H10</f>
        <v>Sin Iniciar</v>
      </c>
      <c r="I184" s="145" t="str">
        <f>'[8]Matriz Mensual Nolis Jáquez Sep'!I10</f>
        <v xml:space="preserve">Negociado </v>
      </c>
      <c r="J184" s="252" t="str">
        <f>'[8]Matriz Mensual Nolis Jáquez Sep'!J10</f>
        <v>CAIPI sin iniciar. Este contartista fue posesionado desde mediado del 2019 , sin embargo aún no tiene el avancen para iniciar los trabajos.</v>
      </c>
      <c r="K184" s="188">
        <f>'[8]Matriz Mensual Nolis Jáquez Sep'!K10</f>
        <v>0</v>
      </c>
      <c r="L184" s="188">
        <f>'[8]Matriz Mensual Nolis Jáquez Sep'!L10</f>
        <v>0</v>
      </c>
      <c r="M184" s="145" t="str">
        <f>'[8]Matriz Mensual Nolis Jáquez Sep'!M10</f>
        <v>Jonatan Enmanuel Paula Taveras</v>
      </c>
      <c r="N184" s="145" t="str">
        <f>'[8]Matriz Mensual Nolis Jáquez Sep'!N10</f>
        <v>(809)501-0811</v>
      </c>
      <c r="O184" s="145" t="str">
        <f>'[8]Matriz Mensual Nolis Jáquez Sep'!O10</f>
        <v>jonatanpaula3@gmail.com</v>
      </c>
      <c r="P184" s="145" t="str">
        <f>'[8]Matriz Mensual Nolis Jáquez Sep'!P10</f>
        <v>2DO</v>
      </c>
      <c r="Q184" s="147">
        <f>'[8]Matriz Mensual Nolis Jáquez Sep'!Q10</f>
        <v>0</v>
      </c>
    </row>
    <row r="185" spans="1:25" s="7" customFormat="1" ht="31.5" x14ac:dyDescent="0.25">
      <c r="A185" s="190">
        <f t="shared" si="2"/>
        <v>174</v>
      </c>
      <c r="B185" s="137" t="s">
        <v>395</v>
      </c>
      <c r="C185" s="137" t="s">
        <v>403</v>
      </c>
      <c r="D185" s="137" t="s">
        <v>75</v>
      </c>
      <c r="E185" s="137" t="s">
        <v>144</v>
      </c>
      <c r="F185" s="137" t="s">
        <v>408</v>
      </c>
      <c r="G185" s="137" t="s">
        <v>409</v>
      </c>
      <c r="H185" s="137" t="str">
        <f>'[7]Resumen Anny Almanzar septi2020'!$H$16</f>
        <v>Inaugurado</v>
      </c>
      <c r="I185" s="213">
        <f>'[7]Resumen Anny Almanzar septi2020'!I16</f>
        <v>0</v>
      </c>
      <c r="J185" s="251">
        <f>'[7]Resumen Anny Almanzar septi2020'!J16</f>
        <v>0</v>
      </c>
      <c r="K185" s="195" t="str">
        <f>'[7]Resumen Anny Almanzar septi2020'!K16</f>
        <v>19.384883, -70.424668</v>
      </c>
      <c r="L185" s="195" t="str">
        <f>'[7]Resumen Anny Almanzar septi2020'!L16</f>
        <v>2N</v>
      </c>
      <c r="M185" s="137" t="str">
        <f>'[7]Resumen Anny Almanzar septi2020'!M16</f>
        <v>Darleny G. de la Cruz Rosario</v>
      </c>
      <c r="N185" s="137">
        <f>'[7]Resumen Anny Almanzar septi2020'!N16</f>
        <v>0</v>
      </c>
      <c r="O185" s="137">
        <f>'[7]Resumen Anny Almanzar septi2020'!O16</f>
        <v>0</v>
      </c>
      <c r="P185" s="137" t="str">
        <f>'[7]Resumen Anny Almanzar septi2020'!P16</f>
        <v>1ER</v>
      </c>
      <c r="Q185" s="149">
        <f>'[7]Resumen Anny Almanzar septi2020'!$Q$16</f>
        <v>1</v>
      </c>
    </row>
    <row r="186" spans="1:25" s="7" customFormat="1" ht="107.25" customHeight="1" x14ac:dyDescent="0.25">
      <c r="A186" s="190">
        <f t="shared" si="2"/>
        <v>175</v>
      </c>
      <c r="B186" s="145" t="s">
        <v>395</v>
      </c>
      <c r="C186" s="145" t="s">
        <v>403</v>
      </c>
      <c r="D186" s="220" t="s">
        <v>76</v>
      </c>
      <c r="E186" s="145" t="s">
        <v>144</v>
      </c>
      <c r="F186" s="220" t="s">
        <v>609</v>
      </c>
      <c r="G186" s="145" t="s">
        <v>704</v>
      </c>
      <c r="H186" s="145" t="str">
        <f>'[7]Resumen Anny Almanzar septi2020'!H17</f>
        <v>Detenido pago terreno</v>
      </c>
      <c r="I186" s="145">
        <f>'[7]Resumen Anny Almanzar septi2020'!I17</f>
        <v>0</v>
      </c>
      <c r="J186" s="252" t="str">
        <f>'[7]Resumen Anny Almanzar septi2020'!J17</f>
        <v>CAIPI detenido por pago de terreno desde el 20/08/18. Fue enviado otra propuesta de terreno para ser evaluada por MINERD.</v>
      </c>
      <c r="K186" s="188" t="str">
        <f>'[7]Resumen Anny Almanzar septi2020'!K17</f>
        <v>19.2944700, -70.41395550</v>
      </c>
      <c r="L186" s="188">
        <f>'[7]Resumen Anny Almanzar septi2020'!L17</f>
        <v>0</v>
      </c>
      <c r="M186" s="23" t="str">
        <f>'[7]Resumen Anny Almanzar septi2020'!M17</f>
        <v>Elio Manuel Martinez Gloss</v>
      </c>
      <c r="N186" s="145" t="str">
        <f>'[7]Resumen Anny Almanzar septi2020'!N17</f>
        <v>(809)875-6074</v>
      </c>
      <c r="O186" s="145" t="str">
        <f>'[7]Resumen Anny Almanzar septi2020'!O17</f>
        <v>arq.elio@hotmail.com</v>
      </c>
      <c r="P186" s="145" t="str">
        <f>'[7]Resumen Anny Almanzar septi2020'!P17</f>
        <v>2DO</v>
      </c>
      <c r="Q186" s="147">
        <f>'[7]Resumen Anny Almanzar septi2020'!Q17</f>
        <v>0</v>
      </c>
    </row>
    <row r="187" spans="1:25" s="7" customFormat="1" ht="87.75" customHeight="1" x14ac:dyDescent="0.25">
      <c r="A187" s="190">
        <f t="shared" si="2"/>
        <v>176</v>
      </c>
      <c r="B187" s="137" t="s">
        <v>395</v>
      </c>
      <c r="C187" s="137" t="s">
        <v>410</v>
      </c>
      <c r="D187" s="137" t="s">
        <v>411</v>
      </c>
      <c r="E187" s="137" t="s">
        <v>144</v>
      </c>
      <c r="F187" s="137" t="s">
        <v>411</v>
      </c>
      <c r="G187" s="137" t="s">
        <v>412</v>
      </c>
      <c r="H187" s="137" t="str">
        <f>'[7]Resumen Anny Almanzar septi2020'!H18</f>
        <v>En Construcción</v>
      </c>
      <c r="I187" s="227">
        <f>'[7]Resumen Anny Almanzar septi2020'!I18</f>
        <v>0</v>
      </c>
      <c r="J187" s="248" t="str">
        <f>'[7]Resumen Anny Almanzar septi2020'!J18</f>
        <v>CAIPI  en construcción. CAIPI en etapa primera manos de pintura de base, se terminó el muro de la canaleta y se colocan las luces exteriores.</v>
      </c>
      <c r="K187" s="137" t="str">
        <f>'[7]Resumen Anny Almanzar septi2020'!K18</f>
        <v>19.317006, -69.884568</v>
      </c>
      <c r="L187" s="195" t="str">
        <f>'[7]Resumen Anny Almanzar septi2020'!L18</f>
        <v>1N</v>
      </c>
      <c r="M187" s="20" t="str">
        <f>'[7]Resumen Anny Almanzar septi2020'!M18</f>
        <v>Juan Manuel Liriano Reyes</v>
      </c>
      <c r="N187" s="137" t="str">
        <f>'[7]Resumen Anny Almanzar septi2020'!N18</f>
        <v>(829)918-0206</v>
      </c>
      <c r="O187" s="137" t="str">
        <f>'[7]Resumen Anny Almanzar septi2020'!O18</f>
        <v>lirianox@gmail.com</v>
      </c>
      <c r="P187" s="137" t="str">
        <f>'[7]Resumen Anny Almanzar septi2020'!P18</f>
        <v>2DO</v>
      </c>
      <c r="Q187" s="149">
        <f>'[7]Resumen Anny Almanzar septi2020'!Q18</f>
        <v>0.84</v>
      </c>
    </row>
    <row r="188" spans="1:25" s="7" customFormat="1" ht="31.5" x14ac:dyDescent="0.25">
      <c r="A188" s="190">
        <f t="shared" si="2"/>
        <v>177</v>
      </c>
      <c r="B188" s="145" t="s">
        <v>395</v>
      </c>
      <c r="C188" s="137" t="s">
        <v>410</v>
      </c>
      <c r="D188" s="145" t="s">
        <v>413</v>
      </c>
      <c r="E188" s="145" t="s">
        <v>124</v>
      </c>
      <c r="F188" s="145" t="s">
        <v>413</v>
      </c>
      <c r="G188" s="145" t="s">
        <v>414</v>
      </c>
      <c r="H188" s="145" t="str">
        <f>'[7]Resumen Anny Almanzar septi2020'!H19</f>
        <v>Inaugurado</v>
      </c>
      <c r="I188" s="228">
        <f>'[7]Resumen Anny Almanzar septi2020'!I19</f>
        <v>0</v>
      </c>
      <c r="J188" s="250">
        <f>'[7]Resumen Anny Almanzar septi2020'!J19</f>
        <v>0</v>
      </c>
      <c r="K188" s="145" t="str">
        <f>'[7]Resumen Anny Almanzar septi2020'!K19</f>
        <v>19.384029, -69.860160</v>
      </c>
      <c r="L188" s="188" t="str">
        <f>'[7]Resumen Anny Almanzar septi2020'!L19</f>
        <v>1N</v>
      </c>
      <c r="M188" s="23" t="str">
        <f>'[7]Resumen Anny Almanzar septi2020'!M19</f>
        <v>Yajahydis Altagracia Paniagua Santos</v>
      </c>
      <c r="N188" s="145" t="str">
        <f>'[7]Resumen Anny Almanzar septi2020'!N19</f>
        <v>(809)669-5987</v>
      </c>
      <c r="O188" s="145" t="str">
        <f>'[7]Resumen Anny Almanzar septi2020'!O19</f>
        <v>yajahydis13@hotmail.com</v>
      </c>
      <c r="P188" s="145" t="str">
        <f>'[7]Resumen Anny Almanzar septi2020'!P19</f>
        <v>2DO</v>
      </c>
      <c r="Q188" s="147">
        <f>'[7]Resumen Anny Almanzar septi2020'!$Q$19</f>
        <v>1</v>
      </c>
    </row>
    <row r="189" spans="1:25" s="7" customFormat="1" ht="31.5" x14ac:dyDescent="0.25">
      <c r="A189" s="190">
        <f t="shared" si="2"/>
        <v>178</v>
      </c>
      <c r="B189" s="210" t="s">
        <v>395</v>
      </c>
      <c r="C189" s="137" t="s">
        <v>410</v>
      </c>
      <c r="D189" s="210" t="s">
        <v>413</v>
      </c>
      <c r="E189" s="210" t="s">
        <v>124</v>
      </c>
      <c r="F189" s="210" t="s">
        <v>415</v>
      </c>
      <c r="G189" s="210" t="s">
        <v>703</v>
      </c>
      <c r="H189" s="210" t="str">
        <f>'[7]Resumen Anny Almanzar septi2020'!H20</f>
        <v>Inaugurado</v>
      </c>
      <c r="I189" s="229">
        <f>'[7]Resumen Anny Almanzar septi2020'!I20</f>
        <v>0</v>
      </c>
      <c r="J189" s="254">
        <f>'[7]Resumen Anny Almanzar septi2020'!J20</f>
        <v>0</v>
      </c>
      <c r="K189" s="230" t="str">
        <f>'[7]Resumen Anny Almanzar septi2020'!K20</f>
        <v>19.368405, -69.847244</v>
      </c>
      <c r="L189" s="230" t="str">
        <f>'[7]Resumen Anny Almanzar septi2020'!L20</f>
        <v>1N</v>
      </c>
      <c r="M189" s="295" t="str">
        <f>'[7]Resumen Anny Almanzar septi2020'!M20</f>
        <v>Guillermo odríguez de Jesús</v>
      </c>
      <c r="N189" s="210">
        <f>'[7]Resumen Anny Almanzar septi2020'!N20</f>
        <v>0</v>
      </c>
      <c r="O189" s="210">
        <f>'[7]Resumen Anny Almanzar septi2020'!O20</f>
        <v>0</v>
      </c>
      <c r="P189" s="210" t="str">
        <f>'[7]Resumen Anny Almanzar septi2020'!P20</f>
        <v>1ER</v>
      </c>
      <c r="Q189" s="222">
        <f>'[7]Resumen Anny Almanzar septi2020'!Q20</f>
        <v>1</v>
      </c>
    </row>
    <row r="190" spans="1:25" s="7" customFormat="1" x14ac:dyDescent="0.25">
      <c r="A190" s="190">
        <f t="shared" si="2"/>
        <v>179</v>
      </c>
      <c r="B190" s="137" t="s">
        <v>395</v>
      </c>
      <c r="C190" s="137" t="s">
        <v>416</v>
      </c>
      <c r="D190" s="137" t="s">
        <v>417</v>
      </c>
      <c r="E190" s="137" t="s">
        <v>124</v>
      </c>
      <c r="F190" s="137" t="s">
        <v>418</v>
      </c>
      <c r="G190" s="137" t="s">
        <v>418</v>
      </c>
      <c r="H190" s="137" t="str">
        <f>'[7]Resumen Anny Almanzar septi2020'!H21</f>
        <v>Inaugurado</v>
      </c>
      <c r="I190" s="213">
        <f>'[7]Resumen Anny Almanzar septi2020'!I21</f>
        <v>0</v>
      </c>
      <c r="J190" s="251">
        <f>'[7]Resumen Anny Almanzar septi2020'!J21</f>
        <v>0</v>
      </c>
      <c r="K190" s="195" t="str">
        <f>'[7]Resumen Anny Almanzar septi2020'!K21</f>
        <v>19.213092, -69.333526</v>
      </c>
      <c r="L190" s="195">
        <f>'[7]Resumen Anny Almanzar septi2020'!L21</f>
        <v>0</v>
      </c>
      <c r="M190" s="137" t="str">
        <f>'[7]Resumen Anny Almanzar septi2020'!M21</f>
        <v>Juan Selman Geara</v>
      </c>
      <c r="N190" s="137">
        <f>'[7]Resumen Anny Almanzar septi2020'!N21</f>
        <v>0</v>
      </c>
      <c r="O190" s="137">
        <f>'[7]Resumen Anny Almanzar septi2020'!O21</f>
        <v>0</v>
      </c>
      <c r="P190" s="137" t="str">
        <f>'[7]Resumen Anny Almanzar septi2020'!P21</f>
        <v>1ER</v>
      </c>
      <c r="Q190" s="149">
        <f>'[7]Resumen Anny Almanzar septi2020'!Q21</f>
        <v>1</v>
      </c>
    </row>
    <row r="191" spans="1:25" s="7" customFormat="1" ht="120.75" customHeight="1" x14ac:dyDescent="0.25">
      <c r="A191" s="190">
        <f t="shared" si="2"/>
        <v>180</v>
      </c>
      <c r="B191" s="139" t="s">
        <v>395</v>
      </c>
      <c r="C191" s="137" t="s">
        <v>416</v>
      </c>
      <c r="D191" s="139" t="s">
        <v>419</v>
      </c>
      <c r="E191" s="139" t="s">
        <v>144</v>
      </c>
      <c r="F191" s="217" t="s">
        <v>420</v>
      </c>
      <c r="G191" s="217" t="s">
        <v>702</v>
      </c>
      <c r="H191" s="139" t="str">
        <f>'[7]Resumen Anny Almanzar septi2020'!H22</f>
        <v>En Construcción</v>
      </c>
      <c r="I191" s="216">
        <f>'[7]Resumen Anny Almanzar septi2020'!I22</f>
        <v>0</v>
      </c>
      <c r="J191" s="249" t="str">
        <f>'[7]Resumen Anny Almanzar septi2020'!J22</f>
        <v>CAIPI en construcción. Se trabaja en el vaciado de la platea</v>
      </c>
      <c r="K191" s="139" t="str">
        <f>'[7]Resumen Anny Almanzar septi2020'!K22</f>
        <v>19.232079, -69.608828</v>
      </c>
      <c r="L191" s="159" t="str">
        <f>'[7]Resumen Anny Almanzar septi2020'!L22</f>
        <v>2N</v>
      </c>
      <c r="M191" s="19" t="str">
        <f>'[7]Resumen Anny Almanzar septi2020'!M22</f>
        <v>Alexis Santiago Monegro Antigua</v>
      </c>
      <c r="N191" s="140" t="str">
        <f>'[7]Resumen Anny Almanzar septi2020'!N22</f>
        <v>(829)356-7687</v>
      </c>
      <c r="O191" s="140" t="str">
        <f>'[7]Resumen Anny Almanzar septi2020'!O22</f>
        <v>alexis8303@hotmail.com</v>
      </c>
      <c r="P191" s="139" t="str">
        <f>'[7]Resumen Anny Almanzar septi2020'!P22</f>
        <v>2DO</v>
      </c>
      <c r="Q191" s="152">
        <f>'[7]Resumen Anny Almanzar septi2020'!Q22</f>
        <v>0.09</v>
      </c>
    </row>
    <row r="192" spans="1:25" s="7" customFormat="1" ht="126" customHeight="1" x14ac:dyDescent="0.25">
      <c r="A192" s="190">
        <f t="shared" si="2"/>
        <v>181</v>
      </c>
      <c r="B192" s="145" t="s">
        <v>395</v>
      </c>
      <c r="C192" s="137" t="s">
        <v>416</v>
      </c>
      <c r="D192" s="145" t="s">
        <v>421</v>
      </c>
      <c r="E192" s="145" t="s">
        <v>144</v>
      </c>
      <c r="F192" s="145" t="s">
        <v>421</v>
      </c>
      <c r="G192" s="145" t="s">
        <v>701</v>
      </c>
      <c r="H192" s="145" t="str">
        <f>'[7]Resumen Anny Almanzar septi2020'!H23</f>
        <v>Detenido</v>
      </c>
      <c r="I192" s="228">
        <f>'[7]Resumen Anny Almanzar septi2020'!I23</f>
        <v>0</v>
      </c>
      <c r="J192" s="252" t="str">
        <f>'[7]Resumen Anny Almanzar septi2020'!J23</f>
        <v>CAIPI detenido. La contratista fue notificada por la supervisión por cuarta vez ya que no justifica porque los trabajos están paralizados, solo ha realizado vaciado de zapata</v>
      </c>
      <c r="K192" s="188" t="str">
        <f>'[7]Resumen Anny Almanzar septi2020'!K23</f>
        <v>19.307445, -69.546611</v>
      </c>
      <c r="L192" s="188" t="str">
        <f>'[7]Resumen Anny Almanzar septi2020'!L23</f>
        <v>2N</v>
      </c>
      <c r="M192" s="24" t="str">
        <f>'[7]Resumen Anny Almanzar septi2020'!M23</f>
        <v>Kennia Alicia Lalane Matos</v>
      </c>
      <c r="N192" s="146" t="str">
        <f>'[7]Resumen Anny Almanzar septi2020'!N23</f>
        <v>(809)858-6234</v>
      </c>
      <c r="O192" s="146" t="str">
        <f>'[7]Resumen Anny Almanzar septi2020'!O23</f>
        <v>alicialalane@yahoo.com</v>
      </c>
      <c r="P192" s="145" t="str">
        <f>'[7]Resumen Anny Almanzar septi2020'!P23</f>
        <v>2DO</v>
      </c>
      <c r="Q192" s="147">
        <f>'[7]Resumen Anny Almanzar septi2020'!Q23</f>
        <v>0.08</v>
      </c>
    </row>
    <row r="193" spans="1:21" s="7" customFormat="1" ht="78.75" x14ac:dyDescent="0.25">
      <c r="A193" s="190">
        <f t="shared" si="2"/>
        <v>182</v>
      </c>
      <c r="B193" s="137" t="s">
        <v>395</v>
      </c>
      <c r="C193" s="137" t="s">
        <v>422</v>
      </c>
      <c r="D193" s="137" t="s">
        <v>422</v>
      </c>
      <c r="E193" s="137" t="s">
        <v>124</v>
      </c>
      <c r="F193" s="137" t="s">
        <v>423</v>
      </c>
      <c r="G193" s="137" t="s">
        <v>424</v>
      </c>
      <c r="H193" s="137" t="str">
        <f>'[7]Resumen Anny Almanzar septi2020'!H24</f>
        <v>Inaugurado</v>
      </c>
      <c r="I193" s="213">
        <f>'[7]Resumen Anny Almanzar septi2020'!I24</f>
        <v>0</v>
      </c>
      <c r="J193" s="251">
        <f>'[7]Resumen Anny Almanzar septi2020'!J24</f>
        <v>0</v>
      </c>
      <c r="K193" s="195" t="str">
        <f>'[7]Resumen Anny Almanzar septi2020'!K24</f>
        <v>19.228279, -70.543593</v>
      </c>
      <c r="L193" s="195" t="str">
        <f>'[7]Resumen Anny Almanzar septi2020'!L24</f>
        <v>2N</v>
      </c>
      <c r="M193" s="137" t="str">
        <f>'[7]Resumen Anny Almanzar septi2020'!M24</f>
        <v>Bernardo de Jesús Andújar Paulino</v>
      </c>
      <c r="N193" s="137" t="str">
        <f>'[7]Resumen Anny Almanzar septi2020'!N24</f>
        <v>829-920-3142 / 809-543-4804</v>
      </c>
      <c r="O193" s="137" t="str">
        <f>'[7]Resumen Anny Almanzar septi2020'!O24</f>
        <v>andujarng8@hotmail.com</v>
      </c>
      <c r="P193" s="137" t="str">
        <f>'[7]Resumen Anny Almanzar septi2020'!P24</f>
        <v>1ER</v>
      </c>
      <c r="Q193" s="149">
        <f>'[7]Resumen Anny Almanzar septi2020'!Q24</f>
        <v>1</v>
      </c>
    </row>
    <row r="194" spans="1:21" s="7" customFormat="1" ht="31.5" x14ac:dyDescent="0.25">
      <c r="A194" s="190">
        <f t="shared" si="2"/>
        <v>183</v>
      </c>
      <c r="B194" s="139" t="s">
        <v>395</v>
      </c>
      <c r="C194" s="137" t="s">
        <v>422</v>
      </c>
      <c r="D194" s="139" t="s">
        <v>422</v>
      </c>
      <c r="E194" s="139" t="s">
        <v>124</v>
      </c>
      <c r="F194" s="139" t="s">
        <v>425</v>
      </c>
      <c r="G194" s="139" t="s">
        <v>426</v>
      </c>
      <c r="H194" s="139" t="str">
        <f>'[7]Resumen Anny Almanzar septi2020'!H25</f>
        <v>Inaugurado</v>
      </c>
      <c r="I194" s="209">
        <f>'[7]Resumen Anny Almanzar septi2020'!I25</f>
        <v>0</v>
      </c>
      <c r="J194" s="253">
        <f>'[7]Resumen Anny Almanzar septi2020'!J25</f>
        <v>0</v>
      </c>
      <c r="K194" s="159" t="str">
        <f>'[7]Resumen Anny Almanzar septi2020'!K25</f>
        <v>19.222638, -70.506713</v>
      </c>
      <c r="L194" s="159" t="str">
        <f>'[7]Resumen Anny Almanzar septi2020'!L25</f>
        <v>2N</v>
      </c>
      <c r="M194" s="295" t="str">
        <f>'[7]Resumen Anny Almanzar septi2020'!M25</f>
        <v>Gregoruio Almánzar Jiménez</v>
      </c>
      <c r="N194" s="139">
        <f>'[7]Resumen Anny Almanzar septi2020'!N25</f>
        <v>0</v>
      </c>
      <c r="O194" s="154">
        <f>'[7]Resumen Anny Almanzar septi2020'!O25</f>
        <v>0</v>
      </c>
      <c r="P194" s="154" t="str">
        <f>'[7]Resumen Anny Almanzar septi2020'!P25</f>
        <v>1ER</v>
      </c>
      <c r="Q194" s="152">
        <f>'[7]Resumen Anny Almanzar septi2020'!Q25</f>
        <v>1</v>
      </c>
    </row>
    <row r="195" spans="1:21" s="7" customFormat="1" ht="132.75" customHeight="1" x14ac:dyDescent="0.25">
      <c r="A195" s="190">
        <f t="shared" si="2"/>
        <v>184</v>
      </c>
      <c r="B195" s="139" t="s">
        <v>395</v>
      </c>
      <c r="C195" s="137" t="s">
        <v>422</v>
      </c>
      <c r="D195" s="139" t="s">
        <v>422</v>
      </c>
      <c r="E195" s="139" t="s">
        <v>124</v>
      </c>
      <c r="F195" s="139" t="s">
        <v>427</v>
      </c>
      <c r="G195" s="139" t="s">
        <v>428</v>
      </c>
      <c r="H195" s="139" t="str">
        <f>'[7]Resumen Anny Almanzar septi2020'!H26</f>
        <v>Detenido pago cubicación</v>
      </c>
      <c r="I195" s="216">
        <f>'[7]Resumen Anny Almanzar septi2020'!I26</f>
        <v>0</v>
      </c>
      <c r="J195" s="253" t="str">
        <f>'[7]Resumen Anny Almanzar septi2020'!J26</f>
        <v>CAIPI detenido. El contratista informa que el proyecto está detenido desde noviembre 2019 por falta de dos pagos de cubicación. Están colocado las tejas menos en la casona</v>
      </c>
      <c r="K195" s="159" t="str">
        <f>'[7]Resumen Anny Almanzar septi2020'!K26</f>
        <v>19.228279, -70.543593</v>
      </c>
      <c r="L195" s="159" t="str">
        <f>'[7]Resumen Anny Almanzar septi2020'!L26</f>
        <v>1N</v>
      </c>
      <c r="M195" s="139" t="str">
        <f>'[7]Resumen Anny Almanzar septi2020'!M26</f>
        <v>MALCAA, SRL /Arq. Néstor Almonte</v>
      </c>
      <c r="N195" s="139" t="str">
        <f>'[7]Resumen Anny Almanzar septi2020'!N26</f>
        <v>809-890-3303</v>
      </c>
      <c r="O195" s="139" t="str">
        <f>'[7]Resumen Anny Almanzar septi2020'!O26</f>
        <v>nestor_almonte@hotmail.com</v>
      </c>
      <c r="P195" s="139" t="str">
        <f>'[7]Resumen Anny Almanzar septi2020'!P26</f>
        <v>1ER</v>
      </c>
      <c r="Q195" s="152">
        <f>'[7]Resumen Anny Almanzar septi2020'!Q26</f>
        <v>0.73</v>
      </c>
    </row>
    <row r="196" spans="1:21" s="7" customFormat="1" ht="105.75" customHeight="1" x14ac:dyDescent="0.25">
      <c r="A196" s="190">
        <f t="shared" si="2"/>
        <v>185</v>
      </c>
      <c r="B196" s="139" t="s">
        <v>395</v>
      </c>
      <c r="C196" s="137" t="s">
        <v>422</v>
      </c>
      <c r="D196" s="139" t="s">
        <v>422</v>
      </c>
      <c r="E196" s="139" t="s">
        <v>124</v>
      </c>
      <c r="F196" s="139" t="s">
        <v>429</v>
      </c>
      <c r="G196" s="139" t="s">
        <v>700</v>
      </c>
      <c r="H196" s="139" t="str">
        <f>'[7]Resumen Anny Almanzar septi2020'!H27</f>
        <v>Detenido</v>
      </c>
      <c r="I196" s="186">
        <f>'[7]Resumen Anny Almanzar septi2020'!I27</f>
        <v>0</v>
      </c>
      <c r="J196" s="253" t="str">
        <f>'[7]Resumen Anny Almanzar septi2020'!J27</f>
        <v>CAIPI detenido. Este contratista tiene detenidos los trabajos sin justificación, aduce que esperar cambio de autoridades en el MOPC.</v>
      </c>
      <c r="K196" s="159" t="str">
        <f>'[7]Resumen Anny Almanzar septi2020'!K27</f>
        <v>19.209223, -70.536748</v>
      </c>
      <c r="L196" s="159" t="str">
        <f>'[7]Resumen Anny Almanzar septi2020'!L27</f>
        <v>1N</v>
      </c>
      <c r="M196" s="22" t="str">
        <f>'[7]Resumen Anny Almanzar septi2020'!M27</f>
        <v>Luis Pereyra/Félix Tavarez Disla</v>
      </c>
      <c r="N196" s="139" t="str">
        <f>'[7]Resumen Anny Almanzar septi2020'!N27</f>
        <v>809-909-1373/ 829-864-6049</v>
      </c>
      <c r="O196" s="139" t="str">
        <f>'[7]Resumen Anny Almanzar septi2020'!O27</f>
        <v>anthonycolon01@hotmail.com</v>
      </c>
      <c r="P196" s="139" t="str">
        <f>'[7]Resumen Anny Almanzar septi2020'!P27</f>
        <v>2DO</v>
      </c>
      <c r="Q196" s="152">
        <f>'[7]Resumen Anny Almanzar septi2020'!Q27</f>
        <v>0.05</v>
      </c>
    </row>
    <row r="197" spans="1:21" s="7" customFormat="1" ht="123" customHeight="1" x14ac:dyDescent="0.25">
      <c r="A197" s="190">
        <f t="shared" si="2"/>
        <v>186</v>
      </c>
      <c r="B197" s="139" t="s">
        <v>395</v>
      </c>
      <c r="C197" s="137" t="s">
        <v>422</v>
      </c>
      <c r="D197" s="139" t="s">
        <v>422</v>
      </c>
      <c r="E197" s="139" t="s">
        <v>124</v>
      </c>
      <c r="F197" s="139" t="s">
        <v>430</v>
      </c>
      <c r="G197" s="139" t="s">
        <v>699</v>
      </c>
      <c r="H197" s="139" t="str">
        <f>'[7]Resumen Anny Almanzar septi2020'!H28</f>
        <v>Detenido</v>
      </c>
      <c r="I197" s="209">
        <f>'[7]Resumen Anny Almanzar septi2020'!I28</f>
        <v>0</v>
      </c>
      <c r="J197" s="253" t="str">
        <f>'[7]Resumen Anny Almanzar septi2020'!J28</f>
        <v>CAIPI detenido por cubicación. A nivel de pintura de base,  espera pago de cubicación. Sigue pendiente la modificación de la cocina.</v>
      </c>
      <c r="K197" s="159" t="str">
        <f>'[7]Resumen Anny Almanzar septi2020'!K28</f>
        <v>19.216457, -70.537360</v>
      </c>
      <c r="L197" s="159" t="str">
        <f>'[7]Resumen Anny Almanzar septi2020'!L28</f>
        <v>1N</v>
      </c>
      <c r="M197" s="22" t="str">
        <f>'[7]Resumen Anny Almanzar septi2020'!M28</f>
        <v>Ivan Ignacio de Los Santos Javier/ Ing. Antonio Colón</v>
      </c>
      <c r="N197" s="139" t="str">
        <f>'[7]Resumen Anny Almanzar septi2020'!N28</f>
        <v>(829)891-0579</v>
      </c>
      <c r="O197" s="201">
        <f>'[7]Resumen Anny Almanzar septi2020'!O28</f>
        <v>0</v>
      </c>
      <c r="P197" s="139" t="str">
        <f>'[7]Resumen Anny Almanzar septi2020'!P28</f>
        <v>2DO</v>
      </c>
      <c r="Q197" s="152">
        <f>'[7]Resumen Anny Almanzar septi2020'!Q28</f>
        <v>0.8</v>
      </c>
    </row>
    <row r="198" spans="1:21" s="7" customFormat="1" ht="78.75" x14ac:dyDescent="0.25">
      <c r="A198" s="190">
        <f t="shared" si="2"/>
        <v>187</v>
      </c>
      <c r="B198" s="139" t="s">
        <v>395</v>
      </c>
      <c r="C198" s="137" t="s">
        <v>422</v>
      </c>
      <c r="D198" s="139" t="s">
        <v>431</v>
      </c>
      <c r="E198" s="139" t="s">
        <v>144</v>
      </c>
      <c r="F198" s="139" t="s">
        <v>431</v>
      </c>
      <c r="G198" s="139" t="s">
        <v>698</v>
      </c>
      <c r="H198" s="139" t="str">
        <f>'[7]Resumen Anny Almanzar septi2020'!H29</f>
        <v>Inaugurado</v>
      </c>
      <c r="I198" s="209">
        <f>'[7]Resumen Anny Almanzar septi2020'!I29</f>
        <v>0</v>
      </c>
      <c r="J198" s="253" t="str">
        <f>'[7]Resumen Anny Almanzar septi2020'!J29</f>
        <v>CAIPI Inaugurado. Queda pendiente la garita para el portero, dadas las condiciones del clima y la distancia del acceso a la casona.</v>
      </c>
      <c r="K198" s="159" t="str">
        <f>'[7]Resumen Anny Almanzar septi2020'!K29</f>
        <v>18.904280, -70.751346</v>
      </c>
      <c r="L198" s="159" t="str">
        <f>'[7]Resumen Anny Almanzar septi2020'!L29</f>
        <v>1N</v>
      </c>
      <c r="M198" s="22" t="str">
        <f>'[7]Resumen Anny Almanzar septi2020'!M29</f>
        <v>Liceló Vásquez Tineo</v>
      </c>
      <c r="N198" s="139" t="str">
        <f>'[7]Resumen Anny Almanzar septi2020'!N29</f>
        <v>(809)973-8885</v>
      </c>
      <c r="O198" s="139" t="str">
        <f>'[7]Resumen Anny Almanzar septi2020'!O29</f>
        <v>lvasquezt@gmail.com</v>
      </c>
      <c r="P198" s="139" t="str">
        <f>'[7]Resumen Anny Almanzar septi2020'!P29</f>
        <v>2DO</v>
      </c>
      <c r="Q198" s="152">
        <f>'[7]Resumen Anny Almanzar septi2020'!$Q$29</f>
        <v>1</v>
      </c>
    </row>
    <row r="199" spans="1:21" s="7" customFormat="1" ht="108" customHeight="1" x14ac:dyDescent="0.25">
      <c r="A199" s="190">
        <f t="shared" si="2"/>
        <v>188</v>
      </c>
      <c r="B199" s="145" t="s">
        <v>395</v>
      </c>
      <c r="C199" s="137" t="s">
        <v>422</v>
      </c>
      <c r="D199" s="145" t="s">
        <v>432</v>
      </c>
      <c r="E199" s="145" t="s">
        <v>144</v>
      </c>
      <c r="F199" s="145" t="s">
        <v>432</v>
      </c>
      <c r="G199" s="145" t="s">
        <v>697</v>
      </c>
      <c r="H199" s="145" t="str">
        <f>'[7]Resumen Anny Almanzar septi2020'!H30</f>
        <v>Detenido por planos</v>
      </c>
      <c r="I199" s="145">
        <f>'[7]Resumen Anny Almanzar septi2020'!I30</f>
        <v>0</v>
      </c>
      <c r="J199" s="252" t="str">
        <f>'[7]Resumen Anny Almanzar septi2020'!J30</f>
        <v xml:space="preserve">CAIPI detenido por planos. Se realizó el levantamiento topográfico y el lunes 7 de enero 2020 se ratificaron algunos puntos. </v>
      </c>
      <c r="K199" s="159" t="str">
        <f>'[7]Resumen Anny Almanzar septi2020'!K30</f>
        <v>19.123141, -70.638947</v>
      </c>
      <c r="L199" s="188" t="str">
        <f>'[7]Resumen Anny Almanzar septi2020'!L30</f>
        <v>2N</v>
      </c>
      <c r="M199" s="23" t="str">
        <f>'[7]Resumen Anny Almanzar septi2020'!M30</f>
        <v>Disconart Diseño y Construcción, SRL/ Kirson Rosario</v>
      </c>
      <c r="N199" s="145" t="str">
        <f>'[7]Resumen Anny Almanzar septi2020'!N30</f>
        <v>(809)712-8200/ (809)443-0555</v>
      </c>
      <c r="O199" s="145" t="str">
        <f>'[7]Resumen Anny Almanzar septi2020'!O30</f>
        <v>disconart.dca@gmail.com</v>
      </c>
      <c r="P199" s="145" t="str">
        <f>'[7]Resumen Anny Almanzar septi2020'!P30</f>
        <v>2DO</v>
      </c>
      <c r="Q199" s="147">
        <f>'[7]Resumen Anny Almanzar septi2020'!Q30</f>
        <v>0</v>
      </c>
    </row>
    <row r="200" spans="1:21" s="7" customFormat="1" ht="229.5" customHeight="1" x14ac:dyDescent="0.25">
      <c r="A200" s="190">
        <f t="shared" si="2"/>
        <v>189</v>
      </c>
      <c r="B200" s="137" t="s">
        <v>395</v>
      </c>
      <c r="C200" s="137" t="s">
        <v>433</v>
      </c>
      <c r="D200" s="137" t="s">
        <v>434</v>
      </c>
      <c r="E200" s="137" t="s">
        <v>124</v>
      </c>
      <c r="F200" s="137" t="s">
        <v>434</v>
      </c>
      <c r="G200" s="137" t="s">
        <v>696</v>
      </c>
      <c r="H200" s="137" t="str">
        <f>'[7]Resumen Anny Almanzar septi2020'!H31</f>
        <v>Detenido</v>
      </c>
      <c r="I200" s="227">
        <f>'[7]Resumen Anny Almanzar septi2020'!I31</f>
        <v>0</v>
      </c>
      <c r="J200" s="274" t="str">
        <f>'[7]Resumen Anny Almanzar septi2020'!J31</f>
        <v>CAIPI detenido. El proyecto está detenido desde noviembre del 2019, El contratista dice que está detenido por pago de cubicación, aunque debe la línea de crédito por lo que en realidad está descapitalizado nueva vez.  Sigue pendiente la modificación de la cocina..</v>
      </c>
      <c r="K200" s="137" t="str">
        <f>'[7]Resumen Anny Almanzar septi2020'!K31</f>
        <v>19.062675, -70.145236</v>
      </c>
      <c r="L200" s="195" t="str">
        <f>'[7]Resumen Anny Almanzar septi2020'!L31</f>
        <v>2N</v>
      </c>
      <c r="M200" s="137" t="str">
        <f>'[7]Resumen Anny Almanzar septi2020'!M31</f>
        <v>CARLOS  TAVARES ACOSTA</v>
      </c>
      <c r="N200" s="137" t="str">
        <f>'[7]Resumen Anny Almanzar septi2020'!N31</f>
        <v>(829)731-7323 / (829)452-6807</v>
      </c>
      <c r="O200" s="137" t="str">
        <f>'[7]Resumen Anny Almanzar septi2020'!O31</f>
        <v>carloselche78@hotmail.com</v>
      </c>
      <c r="P200" s="137" t="str">
        <f>'[7]Resumen Anny Almanzar septi2020'!P31</f>
        <v>1ER</v>
      </c>
      <c r="Q200" s="149">
        <f>'[7]Resumen Anny Almanzar septi2020'!Q31</f>
        <v>0.53</v>
      </c>
    </row>
    <row r="201" spans="1:21" s="7" customFormat="1" ht="31.5" x14ac:dyDescent="0.25">
      <c r="A201" s="190">
        <f t="shared" si="2"/>
        <v>190</v>
      </c>
      <c r="B201" s="290" t="s">
        <v>395</v>
      </c>
      <c r="C201" s="318" t="s">
        <v>433</v>
      </c>
      <c r="D201" s="290" t="s">
        <v>610</v>
      </c>
      <c r="E201" s="290" t="s">
        <v>124</v>
      </c>
      <c r="F201" s="290" t="s">
        <v>611</v>
      </c>
      <c r="G201" s="290" t="s">
        <v>660</v>
      </c>
      <c r="H201" s="139" t="str">
        <f>'[7]Resumen Anny Almanzar septi2020'!H32</f>
        <v>Sin Iniciar</v>
      </c>
      <c r="I201" s="139" t="str">
        <f>'[7]Resumen Anny Almanzar septi2020'!I32</f>
        <v xml:space="preserve">Con Propuesta </v>
      </c>
      <c r="J201" s="253">
        <f>'[7]Resumen Anny Almanzar septi2020'!J32</f>
        <v>0</v>
      </c>
      <c r="K201" s="159" t="str">
        <f>'[7]Resumen Anny Almanzar septi2020'!K32</f>
        <v>19.117763, -70.293691</v>
      </c>
      <c r="L201" s="159">
        <f>'[7]Resumen Anny Almanzar septi2020'!L32</f>
        <v>0</v>
      </c>
      <c r="M201" s="139" t="str">
        <f>'[7]Resumen Anny Almanzar septi2020'!M32</f>
        <v>INGETECTURA SRL/Fco Sánchez Mena</v>
      </c>
      <c r="N201" s="139" t="str">
        <f>'[7]Resumen Anny Almanzar septi2020'!N32</f>
        <v>(829)279-9958</v>
      </c>
      <c r="O201" s="139" t="str">
        <f>'[7]Resumen Anny Almanzar septi2020'!O32</f>
        <v>ingetectura@hotmail.com</v>
      </c>
      <c r="P201" s="139" t="str">
        <f>'[7]Resumen Anny Almanzar septi2020'!P32</f>
        <v>2DO</v>
      </c>
      <c r="Q201" s="152">
        <f>'[7]Resumen Anny Almanzar septi2020'!Q32</f>
        <v>0</v>
      </c>
    </row>
    <row r="202" spans="1:21" s="7" customFormat="1" ht="63" x14ac:dyDescent="0.25">
      <c r="A202" s="190">
        <f t="shared" si="2"/>
        <v>191</v>
      </c>
      <c r="B202" s="145" t="s">
        <v>395</v>
      </c>
      <c r="C202" s="137" t="s">
        <v>433</v>
      </c>
      <c r="D202" s="145" t="s">
        <v>434</v>
      </c>
      <c r="E202" s="145" t="s">
        <v>124</v>
      </c>
      <c r="F202" s="145" t="s">
        <v>435</v>
      </c>
      <c r="G202" s="145" t="s">
        <v>436</v>
      </c>
      <c r="H202" s="145" t="str">
        <f>'[7]Resumen Anny Almanzar septi2020'!H33</f>
        <v>En Construcción</v>
      </c>
      <c r="I202" s="228">
        <f>'[7]Resumen Anny Almanzar septi2020'!I33</f>
        <v>0</v>
      </c>
      <c r="J202" s="250" t="str">
        <f>'[7]Resumen Anny Almanzar septi2020'!J33</f>
        <v>CAIPI en construcción. Se trabaja en un tramo de muro de protección en la parte posterior de la verja perimetral</v>
      </c>
      <c r="K202" s="145" t="str">
        <f>'[7]Resumen Anny Almanzar septi2020'!K33</f>
        <v>19.037779, -70.149914</v>
      </c>
      <c r="L202" s="188">
        <f>'[7]Resumen Anny Almanzar septi2020'!L33</f>
        <v>0</v>
      </c>
      <c r="M202" s="23" t="str">
        <f>'[7]Resumen Anny Almanzar septi2020'!M33</f>
        <v>Jhonny Wilfredo Pérez Arias</v>
      </c>
      <c r="N202" s="145" t="str">
        <f>'[7]Resumen Anny Almanzar septi2020'!N33</f>
        <v>(809)627-2526</v>
      </c>
      <c r="O202" s="145" t="str">
        <f>'[7]Resumen Anny Almanzar septi2020'!O33</f>
        <v>johnnypereza@outlook.com</v>
      </c>
      <c r="P202" s="139" t="str">
        <f>'[7]Resumen Anny Almanzar septi2020'!P33</f>
        <v>2DO</v>
      </c>
      <c r="Q202" s="147">
        <f>'[7]Resumen Anny Almanzar septi2020'!Q33</f>
        <v>0.06</v>
      </c>
    </row>
    <row r="203" spans="1:21" s="7" customFormat="1" ht="126" x14ac:dyDescent="0.25">
      <c r="A203" s="190">
        <f t="shared" si="2"/>
        <v>192</v>
      </c>
      <c r="B203" s="137" t="s">
        <v>437</v>
      </c>
      <c r="C203" s="137" t="s">
        <v>438</v>
      </c>
      <c r="D203" s="137" t="s">
        <v>438</v>
      </c>
      <c r="E203" s="137" t="s">
        <v>144</v>
      </c>
      <c r="F203" s="137" t="s">
        <v>439</v>
      </c>
      <c r="G203" s="137" t="s">
        <v>695</v>
      </c>
      <c r="H203" s="137" t="str">
        <f>'[9]´Resumen Isania Muñoz Sep. 2020'!H10</f>
        <v>Detenido</v>
      </c>
      <c r="I203" s="213">
        <f>'[9]´Resumen Isania Muñoz Sep. 2020'!I10</f>
        <v>0</v>
      </c>
      <c r="J203" s="251" t="str">
        <f>'[9]´Resumen Isania Muñoz Sep. 2020'!J10</f>
        <v xml:space="preserve">CAIPI detenido. Se rescindió el contrato desde aproximadamente diciembre del 2018. Fue adjudicado al 2do lugar del sorteo, Sr Darío Jiménez, quien aún no ha sido puesto en posesión en espera de avance.  </v>
      </c>
      <c r="K203" s="195" t="str">
        <f>'[9]´Resumen Isania Muñoz Sep. 2020'!K10</f>
        <v>19.536224, -71.703302</v>
      </c>
      <c r="L203" s="195" t="str">
        <f>'[9]´Resumen Isania Muñoz Sep. 2020'!L10</f>
        <v>1N</v>
      </c>
      <c r="M203" s="344" t="str">
        <f>'[9]´Resumen Isania Muñoz Sep. 2020'!M10</f>
        <v>Darío Jiménez</v>
      </c>
      <c r="N203" s="143">
        <f>'[9]´Resumen Isania Muñoz Sep. 2020'!N10</f>
        <v>0</v>
      </c>
      <c r="O203" s="143">
        <f>'[9]´Resumen Isania Muñoz Sep. 2020'!O10</f>
        <v>0</v>
      </c>
      <c r="P203" s="137" t="str">
        <f>'[9]´Resumen Isania Muñoz Sep. 2020'!P10</f>
        <v>1ER</v>
      </c>
      <c r="Q203" s="149">
        <f>'[9]´Resumen Isania Muñoz Sep. 2020'!Q10</f>
        <v>0.52</v>
      </c>
      <c r="R203" s="202"/>
      <c r="S203" s="202"/>
      <c r="T203" s="202"/>
      <c r="U203" s="202"/>
    </row>
    <row r="204" spans="1:21" s="7" customFormat="1" ht="128.25" customHeight="1" x14ac:dyDescent="0.25">
      <c r="A204" s="190">
        <f t="shared" si="2"/>
        <v>193</v>
      </c>
      <c r="B204" s="139" t="s">
        <v>437</v>
      </c>
      <c r="C204" s="137" t="s">
        <v>438</v>
      </c>
      <c r="D204" s="139" t="s">
        <v>438</v>
      </c>
      <c r="E204" s="139" t="s">
        <v>144</v>
      </c>
      <c r="F204" s="139" t="s">
        <v>440</v>
      </c>
      <c r="G204" s="139" t="s">
        <v>694</v>
      </c>
      <c r="H204" s="139" t="str">
        <f>'[9]´Resumen Isania Muñoz Sep. 2020'!H11</f>
        <v>Detenido</v>
      </c>
      <c r="I204" s="209">
        <f>'[9]´Resumen Isania Muñoz Sep. 2020'!I11</f>
        <v>0</v>
      </c>
      <c r="J204" s="253" t="str">
        <f>'[9]´Resumen Isania Muñoz Sep. 2020'!J11</f>
        <v>CAIPI detenido por falta de liquidez, desde mayo 2019. Alega no tener recursos para continuar (reclama revisión precio hormigón losa inclinada). Tiene ambas losas vaciadas.</v>
      </c>
      <c r="K204" s="159" t="str">
        <f>'[9]´Resumen Isania Muñoz Sep. 2020'!K11</f>
        <v>19.553611, -71.700570</v>
      </c>
      <c r="L204" s="159" t="str">
        <f>'[9]´Resumen Isania Muñoz Sep. 2020'!L11</f>
        <v>2N</v>
      </c>
      <c r="M204" s="19" t="str">
        <f>'[9]´Resumen Isania Muñoz Sep. 2020'!M11</f>
        <v>Const. Andújar Cambero &amp; Asoc. SRL/F. Andújar</v>
      </c>
      <c r="N204" s="140" t="str">
        <f>'[9]´Resumen Isania Muñoz Sep. 2020'!N11</f>
        <v>(809)396-7250</v>
      </c>
      <c r="O204" s="140" t="str">
        <f>'[9]´Resumen Isania Muñoz Sep. 2020'!O11</f>
        <v>juniorandujar2020@hotmail.com</v>
      </c>
      <c r="P204" s="139" t="str">
        <f>'[9]´Resumen Isania Muñoz Sep. 2020'!P11</f>
        <v>2DO</v>
      </c>
      <c r="Q204" s="152">
        <f>'[9]´Resumen Isania Muñoz Sep. 2020'!Q11</f>
        <v>0.5</v>
      </c>
      <c r="R204" s="201"/>
      <c r="S204" s="201"/>
      <c r="T204" s="201"/>
      <c r="U204" s="201"/>
    </row>
    <row r="205" spans="1:21" s="7" customFormat="1" ht="47.25" x14ac:dyDescent="0.25">
      <c r="A205" s="190">
        <f t="shared" si="2"/>
        <v>194</v>
      </c>
      <c r="B205" s="289" t="s">
        <v>437</v>
      </c>
      <c r="C205" s="318" t="s">
        <v>438</v>
      </c>
      <c r="D205" s="289" t="s">
        <v>441</v>
      </c>
      <c r="E205" s="289" t="s">
        <v>144</v>
      </c>
      <c r="F205" s="289" t="s">
        <v>612</v>
      </c>
      <c r="G205" s="289" t="s">
        <v>661</v>
      </c>
      <c r="H205" s="145" t="str">
        <f>'[9]´Resumen Isania Muñoz Sep. 2020'!H12</f>
        <v>Sin Iniciar</v>
      </c>
      <c r="I205" s="146" t="str">
        <f>'[9]´Resumen Isania Muñoz Sep. 2020'!I12</f>
        <v xml:space="preserve">Sin Propuesta </v>
      </c>
      <c r="J205" s="252">
        <f>'[9]´Resumen Isania Muñoz Sep. 2020'!J12</f>
        <v>0</v>
      </c>
      <c r="K205" s="188">
        <f>'[9]´Resumen Isania Muñoz Sep. 2020'!K12</f>
        <v>0</v>
      </c>
      <c r="L205" s="188">
        <f>'[9]´Resumen Isania Muñoz Sep. 2020'!L12</f>
        <v>0</v>
      </c>
      <c r="M205" s="137" t="str">
        <f>'[9]´Resumen Isania Muñoz Sep. 2020'!M12</f>
        <v>Joan Alexander Hernández Valdez</v>
      </c>
      <c r="N205" s="145">
        <f>'[9]´Resumen Isania Muñoz Sep. 2020'!N12</f>
        <v>0</v>
      </c>
      <c r="O205" s="145">
        <f>'[9]´Resumen Isania Muñoz Sep. 2020'!O12</f>
        <v>0</v>
      </c>
      <c r="P205" s="145" t="str">
        <f>'[9]´Resumen Isania Muñoz Sep. 2020'!P12</f>
        <v>2DO</v>
      </c>
      <c r="Q205" s="147">
        <f>'[9]´Resumen Isania Muñoz Sep. 2020'!Q12</f>
        <v>0</v>
      </c>
      <c r="R205" s="203"/>
      <c r="S205" s="203"/>
      <c r="T205" s="203"/>
      <c r="U205" s="203"/>
    </row>
    <row r="206" spans="1:21" s="7" customFormat="1" ht="360.75" customHeight="1" x14ac:dyDescent="0.25">
      <c r="A206" s="190">
        <f t="shared" ref="A206:A262" si="3">+A205+1</f>
        <v>195</v>
      </c>
      <c r="B206" s="137" t="s">
        <v>442</v>
      </c>
      <c r="C206" s="137" t="s">
        <v>443</v>
      </c>
      <c r="D206" s="137" t="s">
        <v>443</v>
      </c>
      <c r="E206" s="137" t="s">
        <v>144</v>
      </c>
      <c r="F206" s="137" t="s">
        <v>444</v>
      </c>
      <c r="G206" s="137" t="s">
        <v>693</v>
      </c>
      <c r="H206" s="137" t="str">
        <f>'[10]Resumen Elly Almánzar SEPT..20'!H10</f>
        <v>Detenido</v>
      </c>
      <c r="I206" s="137">
        <f>'[10]Resumen Elly Almánzar SEPT..20'!I10</f>
        <v>0</v>
      </c>
      <c r="J206" s="248" t="str">
        <f>'[10]Resumen Elly Almánzar SEPT..20'!J10</f>
        <v xml:space="preserve">CAIPI detenido desde 22 de Julio 2019, por falta de recursos. Sugerimos la intervención del MINERD de manera inmediata para hacer que este contratista  cumpla con sus obligaciones debido a que arrastra problemas económicos y no muestra interés por resolverlos. 
En cuanto a la demolición de algunas losas en pasarela que se sugirieron, no confiamos en las posibles reparaciones que realice este contratista dado que no ha mostrado ninguna calidad técnica en su obra. 
</v>
      </c>
      <c r="K206" s="137" t="str">
        <f>'[10]Resumen Elly Almánzar SEPT..20'!K10</f>
        <v>19.836526, -71.638587</v>
      </c>
      <c r="L206" s="137" t="str">
        <f>'[10]Resumen Elly Almánzar SEPT..20'!L10</f>
        <v>1N</v>
      </c>
      <c r="M206" s="137" t="str">
        <f>'[10]Resumen Elly Almánzar SEPT..20'!M10</f>
        <v>Julie Belliard Fernández /Rafael Tamaño</v>
      </c>
      <c r="N206" s="137" t="str">
        <f>'[10]Resumen Elly Almánzar SEPT..20'!N10</f>
        <v>809-877-1606 /829-548-1236/809-753-5530</v>
      </c>
      <c r="O206" s="137">
        <f>'[10]Resumen Elly Almánzar SEPT..20'!O10</f>
        <v>0</v>
      </c>
      <c r="P206" s="137" t="str">
        <f>'[10]Resumen Elly Almánzar SEPT..20'!P10</f>
        <v>1ER</v>
      </c>
      <c r="Q206" s="144">
        <f>'[10]Resumen Elly Almánzar SEPT..20'!Q10</f>
        <v>0.56999999999999995</v>
      </c>
    </row>
    <row r="207" spans="1:21" s="7" customFormat="1" ht="333.75" customHeight="1" x14ac:dyDescent="0.25">
      <c r="A207" s="190">
        <f t="shared" si="3"/>
        <v>196</v>
      </c>
      <c r="B207" s="139" t="s">
        <v>442</v>
      </c>
      <c r="C207" s="137" t="s">
        <v>443</v>
      </c>
      <c r="D207" s="139" t="s">
        <v>443</v>
      </c>
      <c r="E207" s="139" t="s">
        <v>144</v>
      </c>
      <c r="F207" s="139" t="s">
        <v>445</v>
      </c>
      <c r="G207" s="139" t="s">
        <v>692</v>
      </c>
      <c r="H207" s="139" t="str">
        <f>'[10]Resumen Elly Almánzar SEPT..20'!H11</f>
        <v>Detenido</v>
      </c>
      <c r="I207" s="139">
        <f>'[10]Resumen Elly Almánzar SEPT..20'!I11</f>
        <v>0</v>
      </c>
      <c r="J207" s="249" t="str">
        <f>'[10]Resumen Elly Almánzar SEPT..20'!J11</f>
        <v>CAIPI detenido desde 5 de marzo de 2020. No tiene justificación para no avanzar los trabajos, se le realizó el pago de la cubicación pendiente. El MOPC informa que el contratista espera el pago del reconocimiento de movimientos de tierra.</v>
      </c>
      <c r="K207" s="139" t="str">
        <f>'[10]Resumen Elly Almánzar SEPT..20'!K11</f>
        <v>19.848174, -71.654258</v>
      </c>
      <c r="L207" s="159" t="str">
        <f>'[10]Resumen Elly Almánzar SEPT..20'!L11</f>
        <v>1N</v>
      </c>
      <c r="M207" s="22" t="str">
        <f>'[10]Resumen Elly Almánzar SEPT..20'!M11</f>
        <v>Const. Recrilo SRL/Guarionex Reyes</v>
      </c>
      <c r="N207" s="140" t="str">
        <f>'[10]Resumen Elly Almánzar SEPT..20'!N11</f>
        <v>(809)702-5183</v>
      </c>
      <c r="O207" s="140" t="str">
        <f>'[10]Resumen Elly Almánzar SEPT..20'!O11</f>
        <v>guario22@hotmail.com</v>
      </c>
      <c r="P207" s="139" t="str">
        <f>'[10]Resumen Elly Almánzar SEPT..20'!P11</f>
        <v>2DO</v>
      </c>
      <c r="Q207" s="152">
        <f>'[10]Resumen Elly Almánzar SEPT..20'!Q11</f>
        <v>0.25</v>
      </c>
    </row>
    <row r="208" spans="1:21" s="7" customFormat="1" ht="204.75" x14ac:dyDescent="0.25">
      <c r="A208" s="190">
        <f t="shared" si="3"/>
        <v>197</v>
      </c>
      <c r="B208" s="145" t="s">
        <v>442</v>
      </c>
      <c r="C208" s="137" t="s">
        <v>443</v>
      </c>
      <c r="D208" s="145" t="s">
        <v>446</v>
      </c>
      <c r="E208" s="145" t="s">
        <v>144</v>
      </c>
      <c r="F208" s="145" t="s">
        <v>447</v>
      </c>
      <c r="G208" s="145" t="s">
        <v>691</v>
      </c>
      <c r="H208" s="145" t="str">
        <f>'[10]Resumen Elly Almánzar SEPT..20'!H12</f>
        <v>Detenido</v>
      </c>
      <c r="I208" s="145">
        <f>'[10]Resumen Elly Almánzar SEPT..20'!I12</f>
        <v>0</v>
      </c>
      <c r="J208" s="250" t="str">
        <f>'[10]Resumen Elly Almánzar SEPT..20'!J12</f>
        <v>CAIPI detenido desde el 24 noviembre 2018. La Supervisión (MOPC) cubicó el avance para iniciar el proceso de rescisión (departamento legal MINERD). A pesar del acuerdo hecho con el MINERD en reunión del 24/04/2019, hasta la fecha el contratista no responde y no se ha tomado ninguna acción por parte del MINERD. Solicitamos que la obra sea intervenida. El contratista no muestra interés.</v>
      </c>
      <c r="K208" s="145" t="str">
        <f>'[10]Resumen Elly Almánzar SEPT..20'!K12</f>
        <v>19.696858, -71.743919</v>
      </c>
      <c r="L208" s="188" t="str">
        <f>'[10]Resumen Elly Almánzar SEPT..20'!L12</f>
        <v>1N</v>
      </c>
      <c r="M208" s="23" t="str">
        <f>'[10]Resumen Elly Almánzar SEPT..20'!M12</f>
        <v>Fernando Arturo Cabreja Abreu</v>
      </c>
      <c r="N208" s="146" t="str">
        <f>'[10]Resumen Elly Almánzar SEPT..20'!N12</f>
        <v>(849)455-6799</v>
      </c>
      <c r="O208" s="146" t="str">
        <f>'[10]Resumen Elly Almánzar SEPT..20'!O12</f>
        <v>fc-elmaster@hotmail.com</v>
      </c>
      <c r="P208" s="139" t="str">
        <f>'[10]Resumen Elly Almánzar SEPT..20'!P12</f>
        <v>2DO</v>
      </c>
      <c r="Q208" s="147">
        <f>'[10]Resumen Elly Almánzar SEPT..20'!Q12</f>
        <v>0.05</v>
      </c>
    </row>
    <row r="209" spans="1:17" s="7" customFormat="1" ht="47.25" x14ac:dyDescent="0.25">
      <c r="A209" s="190">
        <f t="shared" si="3"/>
        <v>198</v>
      </c>
      <c r="B209" s="290" t="s">
        <v>437</v>
      </c>
      <c r="C209" s="137" t="s">
        <v>443</v>
      </c>
      <c r="D209" s="290" t="s">
        <v>613</v>
      </c>
      <c r="E209" s="290" t="s">
        <v>124</v>
      </c>
      <c r="F209" s="290" t="s">
        <v>663</v>
      </c>
      <c r="G209" s="290" t="s">
        <v>662</v>
      </c>
      <c r="H209" s="139" t="str">
        <f>'[9]´Resumen Isania Muñoz Sep. 2020'!H13</f>
        <v>Sin Iniciar</v>
      </c>
      <c r="I209" s="209" t="str">
        <f>'[9]´Resumen Isania Muñoz Sep. 2020'!I13</f>
        <v xml:space="preserve">Sin Propuesta </v>
      </c>
      <c r="J209" s="253" t="str">
        <f>'[9]´Resumen Isania Muñoz Sep. 2020'!J13</f>
        <v>Trasladado desde Padre Granero.</v>
      </c>
      <c r="K209" s="159">
        <f>'[9]´Resumen Isania Muñoz Sep. 2020'!K13</f>
        <v>0</v>
      </c>
      <c r="L209" s="159">
        <f>'[9]´Resumen Isania Muñoz Sep. 2020'!L13</f>
        <v>0</v>
      </c>
      <c r="M209" s="139" t="str">
        <f>'[9]´Resumen Isania Muñoz Sep. 2020'!M13</f>
        <v>Constructora Hache Bordas, SRL.</v>
      </c>
      <c r="N209" s="139">
        <f>'[9]´Resumen Isania Muñoz Sep. 2020'!N13</f>
        <v>8095712415</v>
      </c>
      <c r="O209" s="139" t="str">
        <f>'[9]´Resumen Isania Muñoz Sep. 2020'!O13</f>
        <v>c.hachebordas@gmail.com</v>
      </c>
      <c r="P209" s="139" t="str">
        <f>'[9]´Resumen Isania Muñoz Sep. 2020'!P13</f>
        <v>1ER</v>
      </c>
      <c r="Q209" s="152">
        <f>'[9]´Resumen Isania Muñoz Sep. 2020'!Q13</f>
        <v>0</v>
      </c>
    </row>
    <row r="210" spans="1:17" s="7" customFormat="1" x14ac:dyDescent="0.25">
      <c r="A210" s="190">
        <f t="shared" si="3"/>
        <v>199</v>
      </c>
      <c r="B210" s="137" t="s">
        <v>437</v>
      </c>
      <c r="C210" s="137" t="s">
        <v>448</v>
      </c>
      <c r="D210" s="137" t="s">
        <v>448</v>
      </c>
      <c r="E210" s="137" t="s">
        <v>124</v>
      </c>
      <c r="F210" s="137" t="s">
        <v>449</v>
      </c>
      <c r="G210" s="137" t="s">
        <v>449</v>
      </c>
      <c r="H210" s="137" t="str">
        <f>'[9]´Resumen Isania Muñoz Sep. 2020'!H14</f>
        <v>Inaugurado</v>
      </c>
      <c r="I210" s="213">
        <f>'[9]´Resumen Isania Muñoz Sep. 2020'!I14</f>
        <v>0</v>
      </c>
      <c r="J210" s="251">
        <f>'[9]´Resumen Isania Muñoz Sep. 2020'!J14</f>
        <v>0</v>
      </c>
      <c r="K210" s="195" t="str">
        <f>'[9]´Resumen Isania Muñoz Sep. 2020'!K14</f>
        <v>19.791108, -70.722610</v>
      </c>
      <c r="L210" s="195" t="str">
        <f>'[9]´Resumen Isania Muñoz Sep. 2020'!L14</f>
        <v>1N</v>
      </c>
      <c r="M210" s="342" t="str">
        <f>'[9]´Resumen Isania Muñoz Sep. 2020'!M14</f>
        <v>Winstong Abel Peña Terrero</v>
      </c>
      <c r="N210" s="204">
        <f>'[9]´Resumen Isania Muñoz Sep. 2020'!N14</f>
        <v>8092719989</v>
      </c>
      <c r="O210" s="205" t="str">
        <f>'[9]´Resumen Isania Muñoz Sep. 2020'!O14</f>
        <v>epsa77@aol.com</v>
      </c>
      <c r="P210" s="137" t="str">
        <f>'[9]´Resumen Isania Muñoz Sep. 2020'!P14</f>
        <v>1ER</v>
      </c>
      <c r="Q210" s="149">
        <f>'[9]´Resumen Isania Muñoz Sep. 2020'!Q14</f>
        <v>1</v>
      </c>
    </row>
    <row r="211" spans="1:17" s="7" customFormat="1" ht="94.5" x14ac:dyDescent="0.25">
      <c r="A211" s="190">
        <f t="shared" si="3"/>
        <v>200</v>
      </c>
      <c r="B211" s="139" t="s">
        <v>437</v>
      </c>
      <c r="C211" s="137" t="s">
        <v>448</v>
      </c>
      <c r="D211" s="139" t="s">
        <v>448</v>
      </c>
      <c r="E211" s="139" t="s">
        <v>124</v>
      </c>
      <c r="F211" s="139" t="s">
        <v>450</v>
      </c>
      <c r="G211" s="139" t="s">
        <v>450</v>
      </c>
      <c r="H211" s="139" t="str">
        <f>'[9]´Resumen Isania Muñoz Sep. 2020'!H15</f>
        <v>Detenido por planos</v>
      </c>
      <c r="I211" s="209">
        <f>'[9]´Resumen Isania Muñoz Sep. 2020'!I15</f>
        <v>0</v>
      </c>
      <c r="J211" s="253" t="str">
        <f>'[9]´Resumen Isania Muñoz Sep. 2020'!J15</f>
        <v xml:space="preserve">CAIPI detenido por planos desde octubre 2019. Se realizó el levantamiento topográfico, está a la espera de la solución hidráulica para iniciar movimiento de tierra. </v>
      </c>
      <c r="K211" s="159" t="str">
        <f>'[9]´Resumen Isania Muñoz Sep. 2020'!K15</f>
        <v>19.790576, -70.695286</v>
      </c>
      <c r="L211" s="159">
        <f>'[9]´Resumen Isania Muñoz Sep. 2020'!L15</f>
        <v>0</v>
      </c>
      <c r="M211" s="139" t="str">
        <f>'[9]´Resumen Isania Muñoz Sep. 2020'!M15</f>
        <v>DiógenesPartenio VargasFermín</v>
      </c>
      <c r="N211" s="139">
        <f>'[9]´Resumen Isania Muñoz Sep. 2020'!N15</f>
        <v>8093999852</v>
      </c>
      <c r="O211" s="139" t="str">
        <f>'[9]´Resumen Isania Muñoz Sep. 2020'!O15</f>
        <v>dpvargasf@gmail.com</v>
      </c>
      <c r="P211" s="139" t="str">
        <f>'[9]´Resumen Isania Muñoz Sep. 2020'!P15</f>
        <v>1ER</v>
      </c>
      <c r="Q211" s="152">
        <f>'[9]´Resumen Isania Muñoz Sep. 2020'!Q15</f>
        <v>0</v>
      </c>
    </row>
    <row r="212" spans="1:17" s="7" customFormat="1" ht="120.75" customHeight="1" x14ac:dyDescent="0.25">
      <c r="A212" s="190">
        <f t="shared" si="3"/>
        <v>201</v>
      </c>
      <c r="B212" s="139" t="s">
        <v>437</v>
      </c>
      <c r="C212" s="137" t="s">
        <v>448</v>
      </c>
      <c r="D212" s="139" t="s">
        <v>448</v>
      </c>
      <c r="E212" s="139" t="s">
        <v>124</v>
      </c>
      <c r="F212" s="139" t="s">
        <v>614</v>
      </c>
      <c r="G212" s="139" t="s">
        <v>690</v>
      </c>
      <c r="H212" s="139" t="str">
        <f>'[9]´Resumen Isania Muñoz Sep. 2020'!H16</f>
        <v>Detenido pago cubicación</v>
      </c>
      <c r="I212" s="209">
        <f>'[9]´Resumen Isania Muñoz Sep. 2020'!I16</f>
        <v>0</v>
      </c>
      <c r="J212" s="253" t="str">
        <f>'[9]´Resumen Isania Muñoz Sep. 2020'!J16</f>
        <v xml:space="preserve">CAIPI detenido por cubicación. Paralizada desde el 5 de marzo del 2020, se encuentra a nivel de losa de entre piso, a la espera de pago de las cubicaciones 5 y 6. </v>
      </c>
      <c r="K212" s="159" t="str">
        <f>'[9]´Resumen Isania Muñoz Sep. 2020'!K16</f>
        <v>19.779470, -70.692112</v>
      </c>
      <c r="L212" s="159" t="str">
        <f>'[9]´Resumen Isania Muñoz Sep. 2020'!L16</f>
        <v>2N</v>
      </c>
      <c r="M212" s="22" t="str">
        <f>'[9]´Resumen Isania Muñoz Sep. 2020'!M16</f>
        <v>Cristhian Emilio Peralta Peralta</v>
      </c>
      <c r="N212" s="139" t="str">
        <f>'[9]´Resumen Isania Muñoz Sep. 2020'!N16</f>
        <v>(829)669-6197</v>
      </c>
      <c r="O212" s="139" t="str">
        <f>'[9]´Resumen Isania Muñoz Sep. 2020'!O16</f>
        <v>cristhian_peralta01@gmail.com</v>
      </c>
      <c r="P212" s="139" t="str">
        <f>'[9]´Resumen Isania Muñoz Sep. 2020'!P16</f>
        <v>2DO</v>
      </c>
      <c r="Q212" s="152">
        <f>'[9]´Resumen Isania Muñoz Sep. 2020'!Q16</f>
        <v>0.3</v>
      </c>
    </row>
    <row r="213" spans="1:17" s="7" customFormat="1" ht="47.25" x14ac:dyDescent="0.25">
      <c r="A213" s="190">
        <f t="shared" si="3"/>
        <v>202</v>
      </c>
      <c r="B213" s="290" t="s">
        <v>437</v>
      </c>
      <c r="C213" s="318" t="s">
        <v>448</v>
      </c>
      <c r="D213" s="290" t="s">
        <v>448</v>
      </c>
      <c r="E213" s="290" t="s">
        <v>124</v>
      </c>
      <c r="F213" s="290" t="s">
        <v>665</v>
      </c>
      <c r="G213" s="290" t="s">
        <v>664</v>
      </c>
      <c r="H213" s="139" t="str">
        <f>'[9]´Resumen Isania Muñoz Sep. 2020'!H17</f>
        <v>Sin Iniciar</v>
      </c>
      <c r="I213" s="209" t="str">
        <f>'[9]´Resumen Isania Muñoz Sep. 2020'!I17</f>
        <v xml:space="preserve">Con Propuesta </v>
      </c>
      <c r="J213" s="253">
        <f>'[9]´Resumen Isania Muñoz Sep. 2020'!J17</f>
        <v>0</v>
      </c>
      <c r="K213" s="159">
        <f>'[9]´Resumen Isania Muñoz Sep. 2020'!K17</f>
        <v>0</v>
      </c>
      <c r="L213" s="159">
        <f>'[9]´Resumen Isania Muñoz Sep. 2020'!L17</f>
        <v>0</v>
      </c>
      <c r="M213" s="139" t="str">
        <f>'[9]´Resumen Isania Muñoz Sep. 2020'!M17</f>
        <v>Priscilla Antonio Didiez</v>
      </c>
      <c r="N213" s="139" t="str">
        <f>'[9]´Resumen Isania Muñoz Sep. 2020'!N17</f>
        <v>849 859 0991</v>
      </c>
      <c r="O213" s="294" t="str">
        <f>'[9]´Resumen Isania Muñoz Sep. 2020'!O17</f>
        <v>ingpriscillaantonio@hotmail.com</v>
      </c>
      <c r="P213" s="139" t="str">
        <f>'[9]´Resumen Isania Muñoz Sep. 2020'!P17</f>
        <v>1ER</v>
      </c>
      <c r="Q213" s="152">
        <f>'[9]´Resumen Isania Muñoz Sep. 2020'!Q17</f>
        <v>0</v>
      </c>
    </row>
    <row r="214" spans="1:17" s="7" customFormat="1" ht="28.5" customHeight="1" x14ac:dyDescent="0.25">
      <c r="A214" s="190">
        <f t="shared" si="3"/>
        <v>203</v>
      </c>
      <c r="B214" s="306" t="s">
        <v>437</v>
      </c>
      <c r="C214" s="137" t="s">
        <v>448</v>
      </c>
      <c r="D214" s="306" t="s">
        <v>448</v>
      </c>
      <c r="E214" s="306" t="s">
        <v>124</v>
      </c>
      <c r="F214" s="307" t="s">
        <v>451</v>
      </c>
      <c r="G214" s="307" t="s">
        <v>628</v>
      </c>
      <c r="H214" s="139" t="str">
        <f>'[9]´Resumen Isania Muñoz Sep. 2020'!H18</f>
        <v>Sin Iniciar</v>
      </c>
      <c r="I214" s="209" t="str">
        <f>'[9]´Resumen Isania Muñoz Sep. 2020'!I18</f>
        <v xml:space="preserve">Sin Propuesta </v>
      </c>
      <c r="J214" s="253">
        <f>'[9]´Resumen Isania Muñoz Sep. 2020'!J18</f>
        <v>0</v>
      </c>
      <c r="K214" s="159">
        <f>'[9]´Resumen Isania Muñoz Sep. 2020'!K18</f>
        <v>0</v>
      </c>
      <c r="L214" s="159">
        <f>'[9]´Resumen Isania Muñoz Sep. 2020'!L18</f>
        <v>0</v>
      </c>
      <c r="M214" s="139" t="str">
        <f>'[9]´Resumen Isania Muñoz Sep. 2020'!M18</f>
        <v>Xiomara Polanco Tavarez</v>
      </c>
      <c r="N214" s="139" t="str">
        <f>'[9]´Resumen Isania Muñoz Sep. 2020'!N18</f>
        <v>(809)399-8996</v>
      </c>
      <c r="O214" s="139" t="str">
        <f>'[9]´Resumen Isania Muñoz Sep. 2020'!O18</f>
        <v>xiomypolanco@yahoo.com</v>
      </c>
      <c r="P214" s="139" t="str">
        <f>'[9]´Resumen Isania Muñoz Sep. 2020'!P18</f>
        <v>2DO</v>
      </c>
      <c r="Q214" s="152">
        <f>'[9]´Resumen Isania Muñoz Sep. 2020'!Q18</f>
        <v>0</v>
      </c>
    </row>
    <row r="215" spans="1:17" s="7" customFormat="1" ht="73.5" customHeight="1" x14ac:dyDescent="0.25">
      <c r="A215" s="190">
        <f t="shared" si="3"/>
        <v>204</v>
      </c>
      <c r="B215" s="290" t="s">
        <v>442</v>
      </c>
      <c r="C215" s="318" t="s">
        <v>448</v>
      </c>
      <c r="D215" s="290" t="s">
        <v>615</v>
      </c>
      <c r="E215" s="290" t="s">
        <v>144</v>
      </c>
      <c r="F215" s="290" t="s">
        <v>666</v>
      </c>
      <c r="G215" s="290" t="s">
        <v>615</v>
      </c>
      <c r="H215" s="139" t="str">
        <f>'[10]Resumen Elly Almánzar SEPT..20'!H13</f>
        <v>Sin Iniciar</v>
      </c>
      <c r="I215" s="209" t="str">
        <f>'[10]Resumen Elly Almánzar SEPT..20'!I13</f>
        <v xml:space="preserve">Sin Propuesta </v>
      </c>
      <c r="J215" s="253">
        <f>'[10]Resumen Elly Almánzar SEPT..20'!J13</f>
        <v>0</v>
      </c>
      <c r="K215" s="159" t="str">
        <f>'[10]Resumen Elly Almánzar SEPT..20'!K13</f>
        <v>19.758092, -70.831036</v>
      </c>
      <c r="L215" s="159">
        <f>'[10]Resumen Elly Almánzar SEPT..20'!L13</f>
        <v>0</v>
      </c>
      <c r="M215" s="139" t="str">
        <f>'[10]Resumen Elly Almánzar SEPT..20'!M13</f>
        <v>Luis Manuel Duran Mieses</v>
      </c>
      <c r="N215" s="139" t="str">
        <f>'[10]Resumen Elly Almánzar SEPT..20'!N13</f>
        <v>(829)860-5330</v>
      </c>
      <c r="O215" s="139" t="str">
        <f>'[10]Resumen Elly Almánzar SEPT..20'!O13</f>
        <v>ingluismldu12@gmail.com</v>
      </c>
      <c r="P215" s="139" t="str">
        <f>'[10]Resumen Elly Almánzar SEPT..20'!P13</f>
        <v>2DO</v>
      </c>
      <c r="Q215" s="152">
        <f>'[10]Resumen Elly Almánzar SEPT..20'!Q13</f>
        <v>0</v>
      </c>
    </row>
    <row r="216" spans="1:17" s="7" customFormat="1" ht="31.5" x14ac:dyDescent="0.25">
      <c r="A216" s="190">
        <f t="shared" si="3"/>
        <v>205</v>
      </c>
      <c r="B216" s="145" t="s">
        <v>437</v>
      </c>
      <c r="C216" s="137" t="s">
        <v>448</v>
      </c>
      <c r="D216" s="145" t="s">
        <v>452</v>
      </c>
      <c r="E216" s="145" t="s">
        <v>144</v>
      </c>
      <c r="F216" s="145" t="s">
        <v>452</v>
      </c>
      <c r="G216" s="145" t="s">
        <v>689</v>
      </c>
      <c r="H216" s="145" t="str">
        <f>'[9]´Resumen Isania Muñoz Sep. 2020'!H19</f>
        <v>Inaugurado</v>
      </c>
      <c r="I216" s="212">
        <f>'[9]´Resumen Isania Muñoz Sep. 2020'!I19</f>
        <v>0</v>
      </c>
      <c r="J216" s="252" t="str">
        <f>'[9]´Resumen Isania Muñoz Sep. 2020'!J19</f>
        <v xml:space="preserve"> </v>
      </c>
      <c r="K216" s="188" t="str">
        <f>'[9]´Resumen Isania Muñoz Sep. 2020'!K19</f>
        <v>19.747422, -70.552109</v>
      </c>
      <c r="L216" s="188" t="str">
        <f>'[9]´Resumen Isania Muñoz Sep. 2020'!L19</f>
        <v>1N</v>
      </c>
      <c r="M216" s="343" t="str">
        <f>'[9]´Resumen Isania Muñoz Sep. 2020'!M19</f>
        <v>JOHANNA ESTHTER GIL VARGAS</v>
      </c>
      <c r="N216" s="145">
        <f>'[9]´Resumen Isania Muñoz Sep. 2020'!N19</f>
        <v>8099842027</v>
      </c>
      <c r="O216" s="206" t="str">
        <f>'[9]´Resumen Isania Muñoz Sep. 2020'!O19</f>
        <v>johannagil@hotmail.com</v>
      </c>
      <c r="P216" s="145" t="str">
        <f>'[9]´Resumen Isania Muñoz Sep. 2020'!P19</f>
        <v>1ER</v>
      </c>
      <c r="Q216" s="147">
        <f>'[9]´Resumen Isania Muñoz Sep. 2020'!Q19</f>
        <v>1</v>
      </c>
    </row>
    <row r="217" spans="1:17" s="7" customFormat="1" ht="47.25" x14ac:dyDescent="0.25">
      <c r="A217" s="190">
        <f t="shared" si="3"/>
        <v>206</v>
      </c>
      <c r="B217" s="137" t="s">
        <v>437</v>
      </c>
      <c r="C217" s="137" t="s">
        <v>453</v>
      </c>
      <c r="D217" s="137" t="s">
        <v>454</v>
      </c>
      <c r="E217" s="137" t="s">
        <v>198</v>
      </c>
      <c r="F217" s="137" t="s">
        <v>455</v>
      </c>
      <c r="G217" s="137" t="s">
        <v>456</v>
      </c>
      <c r="H217" s="137" t="str">
        <f>'[9]´Resumen Isania Muñoz Sep. 2020'!H20</f>
        <v>Inaugurado</v>
      </c>
      <c r="I217" s="213">
        <f>'[9]´Resumen Isania Muñoz Sep. 2020'!I20</f>
        <v>0</v>
      </c>
      <c r="J217" s="251">
        <f>'[9]´Resumen Isania Muñoz Sep. 2020'!J20</f>
        <v>0</v>
      </c>
      <c r="K217" s="195">
        <f>'[9]´Resumen Isania Muñoz Sep. 2020'!K20</f>
        <v>0</v>
      </c>
      <c r="L217" s="195">
        <f>'[9]´Resumen Isania Muñoz Sep. 2020'!L20</f>
        <v>0</v>
      </c>
      <c r="M217" s="139" t="str">
        <f>'[9]´Resumen Isania Muñoz Sep. 2020'!M20</f>
        <v>Antonio Santos Rodríguez</v>
      </c>
      <c r="N217" s="137">
        <f>'[9]´Resumen Isania Muñoz Sep. 2020'!N20</f>
        <v>0</v>
      </c>
      <c r="O217" s="137">
        <f>'[9]´Resumen Isania Muñoz Sep. 2020'!O20</f>
        <v>0</v>
      </c>
      <c r="P217" s="137" t="str">
        <f>'[9]´Resumen Isania Muñoz Sep. 2020'!P20</f>
        <v>1ER</v>
      </c>
      <c r="Q217" s="149">
        <f>'[9]´Resumen Isania Muñoz Sep. 2020'!Q20</f>
        <v>1</v>
      </c>
    </row>
    <row r="218" spans="1:17" s="7" customFormat="1" ht="173.25" x14ac:dyDescent="0.25">
      <c r="A218" s="190">
        <f t="shared" si="3"/>
        <v>207</v>
      </c>
      <c r="B218" s="139" t="s">
        <v>437</v>
      </c>
      <c r="C218" s="139" t="s">
        <v>453</v>
      </c>
      <c r="D218" s="139" t="s">
        <v>454</v>
      </c>
      <c r="E218" s="139" t="s">
        <v>198</v>
      </c>
      <c r="F218" s="139" t="s">
        <v>457</v>
      </c>
      <c r="G218" s="139" t="s">
        <v>688</v>
      </c>
      <c r="H218" s="139" t="str">
        <f>'[9]´Resumen Isania Muñoz Sep. 2020'!H21</f>
        <v>Detenido pago cubicación</v>
      </c>
      <c r="I218" s="209">
        <f>'[9]´Resumen Isania Muñoz Sep. 2020'!I21</f>
        <v>0</v>
      </c>
      <c r="J218" s="253" t="str">
        <f>'[9]´Resumen Isania Muñoz Sep. 2020'!J21</f>
        <v>CAIPI detenido desde el 25/08/2019. Se encuentra a nivel de primera mano de pintura final. La sociedad entre el contratista y el Ing. Luis Cruz fue disuelta. La misma se había llevado a cabo para solucionar el problema de liquidez de la obra. El contratista ha expresado la intención de entregar la obra al MINERD.</v>
      </c>
      <c r="K218" s="159" t="str">
        <f>'[9]´Resumen Isania Muñoz Sep. 2020'!K21</f>
        <v>19.476111, -70.741788</v>
      </c>
      <c r="L218" s="159" t="str">
        <f>'[9]´Resumen Isania Muñoz Sep. 2020'!L21</f>
        <v>1N</v>
      </c>
      <c r="M218" s="139" t="str">
        <f>'[9]´Resumen Isania Muñoz Sep. 2020'!M21</f>
        <v>RAFAEL MARINO QUIÑONES PEGUERO</v>
      </c>
      <c r="N218" s="139">
        <f>'[9]´Resumen Isania Muñoz Sep. 2020'!N21</f>
        <v>8098559332</v>
      </c>
      <c r="O218" s="139" t="str">
        <f>'[9]´Resumen Isania Muñoz Sep. 2020'!O21</f>
        <v>rafaelquinones2518@hotmail.com</v>
      </c>
      <c r="P218" s="139" t="str">
        <f>'[9]´Resumen Isania Muñoz Sep. 2020'!P21</f>
        <v>1ER</v>
      </c>
      <c r="Q218" s="152">
        <f>'[9]´Resumen Isania Muñoz Sep. 2020'!Q21</f>
        <v>0.75</v>
      </c>
    </row>
    <row r="219" spans="1:17" s="7" customFormat="1" ht="31.5" x14ac:dyDescent="0.25">
      <c r="A219" s="190">
        <f t="shared" si="3"/>
        <v>208</v>
      </c>
      <c r="B219" s="139" t="s">
        <v>437</v>
      </c>
      <c r="C219" s="139" t="s">
        <v>453</v>
      </c>
      <c r="D219" s="139" t="s">
        <v>454</v>
      </c>
      <c r="E219" s="139" t="s">
        <v>198</v>
      </c>
      <c r="F219" s="139" t="s">
        <v>458</v>
      </c>
      <c r="G219" s="139" t="s">
        <v>687</v>
      </c>
      <c r="H219" s="139" t="str">
        <f>'[9]´Resumen Isania Muñoz Sep. 2020'!H22</f>
        <v>Inaugurado</v>
      </c>
      <c r="I219" s="209">
        <f>'[9]´Resumen Isania Muñoz Sep. 2020'!I22</f>
        <v>0</v>
      </c>
      <c r="J219" s="253">
        <f>'[9]´Resumen Isania Muñoz Sep. 2020'!J22</f>
        <v>0</v>
      </c>
      <c r="K219" s="159" t="str">
        <f>'[9]´Resumen Isania Muñoz Sep. 2020'!K22</f>
        <v>19.4854850, -70.7313900</v>
      </c>
      <c r="L219" s="159" t="str">
        <f>'[9]´Resumen Isania Muñoz Sep. 2020'!L22</f>
        <v>1N</v>
      </c>
      <c r="M219" s="22" t="str">
        <f>'[9]´Resumen Isania Muñoz Sep. 2020'!M22</f>
        <v>Francisco Alberto Pereyra Cabrera</v>
      </c>
      <c r="N219" s="139" t="str">
        <f>'[9]´Resumen Isania Muñoz Sep. 2020'!N22</f>
        <v>(829)884-8084</v>
      </c>
      <c r="O219" s="139" t="str">
        <f>'[9]´Resumen Isania Muñoz Sep. 2020'!O22</f>
        <v>franciscopereyra@hotmail.es</v>
      </c>
      <c r="P219" s="139" t="str">
        <f>'[9]´Resumen Isania Muñoz Sep. 2020'!P22</f>
        <v>2DO</v>
      </c>
      <c r="Q219" s="152">
        <f>'[9]´Resumen Isania Muñoz Sep. 2020'!Q22</f>
        <v>1</v>
      </c>
    </row>
    <row r="220" spans="1:17" s="38" customFormat="1" ht="31.5" x14ac:dyDescent="0.25">
      <c r="A220" s="190">
        <f t="shared" si="3"/>
        <v>209</v>
      </c>
      <c r="B220" s="139" t="s">
        <v>437</v>
      </c>
      <c r="C220" s="139" t="s">
        <v>453</v>
      </c>
      <c r="D220" s="139" t="s">
        <v>454</v>
      </c>
      <c r="E220" s="139" t="s">
        <v>198</v>
      </c>
      <c r="F220" s="139" t="s">
        <v>459</v>
      </c>
      <c r="G220" s="139" t="s">
        <v>460</v>
      </c>
      <c r="H220" s="139" t="str">
        <f>'[9]´Resumen Isania Muñoz Sep. 2020'!H23</f>
        <v>Inaugurado</v>
      </c>
      <c r="I220" s="209">
        <f>'[9]´Resumen Isania Muñoz Sep. 2020'!I23</f>
        <v>0</v>
      </c>
      <c r="J220" s="253">
        <f>'[9]´Resumen Isania Muñoz Sep. 2020'!J23</f>
        <v>0</v>
      </c>
      <c r="K220" s="159">
        <f>'[9]´Resumen Isania Muñoz Sep. 2020'!K23</f>
        <v>0</v>
      </c>
      <c r="L220" s="159">
        <f>'[9]´Resumen Isania Muñoz Sep. 2020'!L23</f>
        <v>0</v>
      </c>
      <c r="M220" s="139" t="str">
        <f>'[9]´Resumen Isania Muñoz Sep. 2020'!M23</f>
        <v>Fernando Peralta</v>
      </c>
      <c r="N220" s="139">
        <f>'[9]´Resumen Isania Muñoz Sep. 2020'!N23</f>
        <v>0</v>
      </c>
      <c r="O220" s="139">
        <f>'[9]´Resumen Isania Muñoz Sep. 2020'!O23</f>
        <v>0</v>
      </c>
      <c r="P220" s="139" t="str">
        <f>'[9]´Resumen Isania Muñoz Sep. 2020'!P23</f>
        <v>1ER</v>
      </c>
      <c r="Q220" s="152">
        <f>'[9]´Resumen Isania Muñoz Sep. 2020'!Q23</f>
        <v>1</v>
      </c>
    </row>
    <row r="221" spans="1:17" s="7" customFormat="1" ht="125.25" customHeight="1" x14ac:dyDescent="0.25">
      <c r="A221" s="190">
        <f t="shared" si="3"/>
        <v>210</v>
      </c>
      <c r="B221" s="139" t="s">
        <v>437</v>
      </c>
      <c r="C221" s="139" t="s">
        <v>453</v>
      </c>
      <c r="D221" s="139" t="s">
        <v>454</v>
      </c>
      <c r="E221" s="139" t="s">
        <v>198</v>
      </c>
      <c r="F221" s="139" t="s">
        <v>461</v>
      </c>
      <c r="G221" s="139" t="s">
        <v>686</v>
      </c>
      <c r="H221" s="139" t="str">
        <f>'[9]´Resumen Isania Muñoz Sep. 2020'!H24</f>
        <v>Detenido</v>
      </c>
      <c r="I221" s="209">
        <f>'[9]´Resumen Isania Muñoz Sep. 2020'!I24</f>
        <v>0</v>
      </c>
      <c r="J221" s="253" t="str">
        <f>'[9]´Resumen Isania Muñoz Sep. 2020'!J24</f>
        <v>CAIPI detenido. Tiene vaciado las losas de los módulos de 2-a y 4-5. Detenido desde el 6 de enero del 2020, por tal razón la supervisión notificó al MINERD porque este no amortizado el avance y por ende debe tener recursos para trabajar.</v>
      </c>
      <c r="K221" s="159" t="str">
        <f>'[9]´Resumen Isania Muñoz Sep. 2020'!K24</f>
        <v>19.480213, -70.680745</v>
      </c>
      <c r="L221" s="159" t="str">
        <f>'[9]´Resumen Isania Muñoz Sep. 2020'!L24</f>
        <v>1N</v>
      </c>
      <c r="M221" s="139" t="str">
        <f>'[9]´Resumen Isania Muñoz Sep. 2020'!M24</f>
        <v>Leonardo Santos Beliaeva</v>
      </c>
      <c r="N221" s="139">
        <f>'[9]´Resumen Isania Muñoz Sep. 2020'!N24</f>
        <v>8097108402</v>
      </c>
      <c r="O221" s="139" t="str">
        <f>'[9]´Resumen Isania Muñoz Sep. 2020'!O24</f>
        <v>ing.consudom.@gmail.com</v>
      </c>
      <c r="P221" s="139" t="str">
        <f>'[9]´Resumen Isania Muñoz Sep. 2020'!P24</f>
        <v>1ER</v>
      </c>
      <c r="Q221" s="152">
        <f>'[9]´Resumen Isania Muñoz Sep. 2020'!Q24</f>
        <v>0.36</v>
      </c>
    </row>
    <row r="222" spans="1:17" s="7" customFormat="1" ht="78.75" x14ac:dyDescent="0.25">
      <c r="A222" s="190">
        <f t="shared" si="3"/>
        <v>211</v>
      </c>
      <c r="B222" s="290" t="s">
        <v>395</v>
      </c>
      <c r="C222" s="290" t="s">
        <v>422</v>
      </c>
      <c r="D222" s="290" t="s">
        <v>422</v>
      </c>
      <c r="E222" s="290" t="s">
        <v>198</v>
      </c>
      <c r="F222" s="290" t="s">
        <v>616</v>
      </c>
      <c r="G222" s="290" t="s">
        <v>667</v>
      </c>
      <c r="H222" s="139" t="str">
        <f>'[7]Resumen Anny Almanzar septi2020'!H34</f>
        <v>Sin Iniciar</v>
      </c>
      <c r="I222" s="209" t="str">
        <f>'[7]Resumen Anny Almanzar septi2020'!I34</f>
        <v xml:space="preserve">Con Propuesta </v>
      </c>
      <c r="J222" s="253">
        <f>'[7]Resumen Anny Almanzar septi2020'!J34</f>
        <v>0</v>
      </c>
      <c r="K222" s="159" t="str">
        <f>'[7]Resumen Anny Almanzar septi2020'!K34</f>
        <v>19.245330, -70.557983</v>
      </c>
      <c r="L222" s="159">
        <f>'[7]Resumen Anny Almanzar septi2020'!L34</f>
        <v>0</v>
      </c>
      <c r="M222" s="139" t="str">
        <f>'[7]Resumen Anny Almanzar septi2020'!M34</f>
        <v>Const.y Serv. Mejia SRL/Joselito Mejía</v>
      </c>
      <c r="N222" s="139" t="str">
        <f>'[7]Resumen Anny Almanzar septi2020'!N34</f>
        <v>(809)705-3624</v>
      </c>
      <c r="O222" s="139" t="str">
        <f>'[7]Resumen Anny Almanzar septi2020'!O34</f>
        <v>mejia3124@gmail.com</v>
      </c>
      <c r="P222" s="139" t="str">
        <f>'[7]Resumen Anny Almanzar septi2020'!P34</f>
        <v>2DO</v>
      </c>
      <c r="Q222" s="152">
        <f>'[7]Resumen Anny Almanzar septi2020'!Q34</f>
        <v>0</v>
      </c>
    </row>
    <row r="223" spans="1:17" s="7" customFormat="1" ht="110.25" x14ac:dyDescent="0.25">
      <c r="A223" s="190">
        <f t="shared" si="3"/>
        <v>212</v>
      </c>
      <c r="B223" s="139" t="s">
        <v>437</v>
      </c>
      <c r="C223" s="139" t="s">
        <v>453</v>
      </c>
      <c r="D223" s="139" t="s">
        <v>454</v>
      </c>
      <c r="E223" s="139" t="s">
        <v>198</v>
      </c>
      <c r="F223" s="139" t="s">
        <v>462</v>
      </c>
      <c r="G223" s="139" t="s">
        <v>685</v>
      </c>
      <c r="H223" s="139" t="str">
        <f>'[9]´Resumen Isania Muñoz Sep. 2020'!H25</f>
        <v>Detenido pago cubicación</v>
      </c>
      <c r="I223" s="209">
        <f>'[9]´Resumen Isania Muñoz Sep. 2020'!I25</f>
        <v>0</v>
      </c>
      <c r="J223" s="253" t="str">
        <f>'[9]´Resumen Isania Muñoz Sep. 2020'!J25</f>
        <v>CAIPI detenido. Se detuvo el 16 de junio 2020, por falta de recurso, al no recibir el pago de la primera cubicación debido a que el movimiento de tierra está a la espera de la aprobación del MINERD.</v>
      </c>
      <c r="K223" s="159" t="str">
        <f>'[9]´Resumen Isania Muñoz Sep. 2020'!K25</f>
        <v>19.432894, -70.683991</v>
      </c>
      <c r="L223" s="159">
        <f>'[9]´Resumen Isania Muñoz Sep. 2020'!L25</f>
        <v>0</v>
      </c>
      <c r="M223" s="22" t="str">
        <f>'[9]´Resumen Isania Muñoz Sep. 2020'!M25</f>
        <v>Miguel Adams Torres Martínez</v>
      </c>
      <c r="N223" s="139" t="str">
        <f>'[9]´Resumen Isania Muñoz Sep. 2020'!N25</f>
        <v>(809)223-6905</v>
      </c>
      <c r="O223" s="139" t="str">
        <f>'[9]´Resumen Isania Muñoz Sep. 2020'!O25</f>
        <v>arqadamstorres@gmail.com</v>
      </c>
      <c r="P223" s="139" t="str">
        <f>'[9]´Resumen Isania Muñoz Sep. 2020'!P25</f>
        <v>2DO</v>
      </c>
      <c r="Q223" s="152">
        <f>'[9]´Resumen Isania Muñoz Sep. 2020'!Q25</f>
        <v>0.16</v>
      </c>
    </row>
    <row r="224" spans="1:17" s="7" customFormat="1" ht="150.75" customHeight="1" x14ac:dyDescent="0.25">
      <c r="A224" s="190">
        <f t="shared" si="3"/>
        <v>213</v>
      </c>
      <c r="B224" s="139" t="s">
        <v>437</v>
      </c>
      <c r="C224" s="139" t="s">
        <v>453</v>
      </c>
      <c r="D224" s="139" t="s">
        <v>454</v>
      </c>
      <c r="E224" s="139" t="s">
        <v>198</v>
      </c>
      <c r="F224" s="139" t="s">
        <v>464</v>
      </c>
      <c r="G224" s="139" t="s">
        <v>465</v>
      </c>
      <c r="H224" s="139" t="str">
        <f>'[9]´Resumen Isania Muñoz Sep. 2020'!H26</f>
        <v>Detenido</v>
      </c>
      <c r="I224" s="209">
        <f>'[9]´Resumen Isania Muñoz Sep. 2020'!I26</f>
        <v>0</v>
      </c>
      <c r="J224" s="253" t="str">
        <f>'[9]´Resumen Isania Muñoz Sep. 2020'!J26</f>
        <v>CAIPI detenido desde agosto de 2020. Se encuentra con primera mano de pintura de colores en ambos pisos.</v>
      </c>
      <c r="K224" s="159" t="str">
        <f>'[9]´Resumen Isania Muñoz Sep. 2020'!K26</f>
        <v>19.479506,-70.732264</v>
      </c>
      <c r="L224" s="159" t="str">
        <f>'[9]´Resumen Isania Muñoz Sep. 2020'!L26</f>
        <v>2N</v>
      </c>
      <c r="M224" s="139" t="str">
        <f>'[9]´Resumen Isania Muñoz Sep. 2020'!M26</f>
        <v xml:space="preserve">Oscar Marino Francisco Cabrera </v>
      </c>
      <c r="N224" s="139">
        <f>'[9]´Resumen Isania Muñoz Sep. 2020'!N26</f>
        <v>8094862027</v>
      </c>
      <c r="O224" s="139" t="str">
        <f>'[9]´Resumen Isania Muñoz Sep. 2020'!O26</f>
        <v>miguel.paulinodiaz@hotmail.com</v>
      </c>
      <c r="P224" s="139" t="str">
        <f>'[9]´Resumen Isania Muñoz Sep. 2020'!P26</f>
        <v>1ER</v>
      </c>
      <c r="Q224" s="152">
        <f>'[9]´Resumen Isania Muñoz Sep. 2020'!Q26</f>
        <v>0.67</v>
      </c>
    </row>
    <row r="225" spans="1:22" s="7" customFormat="1" ht="31.5" x14ac:dyDescent="0.25">
      <c r="A225" s="190">
        <f t="shared" si="3"/>
        <v>214</v>
      </c>
      <c r="B225" s="139" t="s">
        <v>437</v>
      </c>
      <c r="C225" s="139" t="s">
        <v>453</v>
      </c>
      <c r="D225" s="139" t="s">
        <v>454</v>
      </c>
      <c r="E225" s="139" t="s">
        <v>198</v>
      </c>
      <c r="F225" s="139" t="s">
        <v>466</v>
      </c>
      <c r="G225" s="139" t="s">
        <v>467</v>
      </c>
      <c r="H225" s="139" t="str">
        <f>'[9]´Resumen Isania Muñoz Sep. 2020'!H27</f>
        <v>Inaugurado</v>
      </c>
      <c r="I225" s="209">
        <f>'[9]´Resumen Isania Muñoz Sep. 2020'!I27</f>
        <v>0</v>
      </c>
      <c r="J225" s="253">
        <f>'[9]´Resumen Isania Muñoz Sep. 2020'!J27</f>
        <v>0</v>
      </c>
      <c r="K225" s="159">
        <f>'[9]´Resumen Isania Muñoz Sep. 2020'!K27</f>
        <v>0</v>
      </c>
      <c r="L225" s="159">
        <f>'[9]´Resumen Isania Muñoz Sep. 2020'!L27</f>
        <v>0</v>
      </c>
      <c r="M225" s="139" t="str">
        <f>'[9]´Resumen Isania Muñoz Sep. 2020'!M27</f>
        <v>Yahaira Alt. Morfe Domínguez</v>
      </c>
      <c r="N225" s="139">
        <f>'[9]´Resumen Isania Muñoz Sep. 2020'!N27</f>
        <v>0</v>
      </c>
      <c r="O225" s="139">
        <f>'[9]´Resumen Isania Muñoz Sep. 2020'!O27</f>
        <v>0</v>
      </c>
      <c r="P225" s="139" t="str">
        <f>'[9]´Resumen Isania Muñoz Sep. 2020'!P27</f>
        <v>1ER</v>
      </c>
      <c r="Q225" s="152">
        <f>'[9]´Resumen Isania Muñoz Sep. 2020'!Q27</f>
        <v>1</v>
      </c>
    </row>
    <row r="226" spans="1:22" s="7" customFormat="1" ht="63" x14ac:dyDescent="0.25">
      <c r="A226" s="190">
        <f t="shared" si="3"/>
        <v>215</v>
      </c>
      <c r="B226" s="139" t="s">
        <v>437</v>
      </c>
      <c r="C226" s="139" t="s">
        <v>453</v>
      </c>
      <c r="D226" s="139" t="s">
        <v>454</v>
      </c>
      <c r="E226" s="139" t="s">
        <v>198</v>
      </c>
      <c r="F226" s="217" t="s">
        <v>468</v>
      </c>
      <c r="G226" s="217" t="s">
        <v>469</v>
      </c>
      <c r="H226" s="139" t="str">
        <f>'[9]´Resumen Isania Muñoz Sep. 2020'!H28</f>
        <v>Sin Iniciar</v>
      </c>
      <c r="I226" s="209" t="str">
        <f>'[9]´Resumen Isania Muñoz Sep. 2020'!I28</f>
        <v xml:space="preserve">Con Propuesta </v>
      </c>
      <c r="J226" s="253">
        <f>'[9]´Resumen Isania Muñoz Sep. 2020'!J28</f>
        <v>0</v>
      </c>
      <c r="K226" s="139">
        <f>'[9]´Resumen Isania Muñoz Sep. 2020'!K28</f>
        <v>0</v>
      </c>
      <c r="L226" s="159">
        <f>'[9]´Resumen Isania Muñoz Sep. 2020'!L28</f>
        <v>0</v>
      </c>
      <c r="M226" s="139" t="str">
        <f>'[9]´Resumen Isania Muñoz Sep. 2020'!M28</f>
        <v>Víctor Emilio Carreras Bueno</v>
      </c>
      <c r="N226" s="139">
        <f>'[9]´Resumen Isania Muñoz Sep. 2020'!N28</f>
        <v>0</v>
      </c>
      <c r="O226" s="139" t="str">
        <f>'[9]´Resumen Isania Muñoz Sep. 2020'!O28</f>
        <v>victorbueno28@hotmail.com</v>
      </c>
      <c r="P226" s="139" t="str">
        <f>'[9]´Resumen Isania Muñoz Sep. 2020'!P28</f>
        <v>2DO</v>
      </c>
      <c r="Q226" s="152">
        <f>'[9]´Resumen Isania Muñoz Sep. 2020'!Q28</f>
        <v>0</v>
      </c>
    </row>
    <row r="227" spans="1:22" s="7" customFormat="1" ht="110.25" x14ac:dyDescent="0.25">
      <c r="A227" s="190">
        <f t="shared" si="3"/>
        <v>216</v>
      </c>
      <c r="B227" s="139" t="s">
        <v>442</v>
      </c>
      <c r="C227" s="139" t="s">
        <v>453</v>
      </c>
      <c r="D227" s="139" t="s">
        <v>454</v>
      </c>
      <c r="E227" s="139" t="s">
        <v>198</v>
      </c>
      <c r="F227" s="139" t="s">
        <v>470</v>
      </c>
      <c r="G227" s="139" t="s">
        <v>470</v>
      </c>
      <c r="H227" s="139" t="str">
        <f>'[10]Resumen Elly Almánzar SEPT..20'!H14</f>
        <v>Inaugurado</v>
      </c>
      <c r="I227" s="139">
        <f>'[10]Resumen Elly Almánzar SEPT..20'!I14</f>
        <v>0</v>
      </c>
      <c r="J227" s="249" t="str">
        <f>'[10]Resumen Elly Almánzar SEPT..20'!J14</f>
        <v xml:space="preserve">CAIPI para inaugurar. No se solucionó el problema de tropezones o desniveles del piso. Estos son un peligro para los niños y dificulta el paso para niños-as y persona con alguna discapacidad. </v>
      </c>
      <c r="K227" s="139" t="str">
        <f>'[10]Resumen Elly Almánzar SEPT..20'!K14</f>
        <v>19.411608, -70.709427</v>
      </c>
      <c r="L227" s="139" t="str">
        <f>'[10]Resumen Elly Almánzar SEPT..20'!L14</f>
        <v>1N</v>
      </c>
      <c r="M227" s="139" t="str">
        <f>'[10]Resumen Elly Almánzar SEPT..20'!M14</f>
        <v>JUAN PABLO RODRÍGUEZ SANTOS</v>
      </c>
      <c r="N227" s="139" t="str">
        <f>'[10]Resumen Elly Almánzar SEPT..20'!N14</f>
        <v>(809)918-7242</v>
      </c>
      <c r="O227" s="139" t="str">
        <f>'[10]Resumen Elly Almánzar SEPT..20'!O14</f>
        <v>juanpablo.rod@hotmail.com</v>
      </c>
      <c r="P227" s="139" t="str">
        <f>'[10]Resumen Elly Almánzar SEPT..20'!P14</f>
        <v>1ER</v>
      </c>
      <c r="Q227" s="152">
        <f>'[10]Resumen Elly Almánzar SEPT..20'!Q14</f>
        <v>1</v>
      </c>
    </row>
    <row r="228" spans="1:22" s="7" customFormat="1" ht="61.5" customHeight="1" x14ac:dyDescent="0.25">
      <c r="A228" s="190">
        <f t="shared" si="3"/>
        <v>217</v>
      </c>
      <c r="B228" s="139" t="s">
        <v>442</v>
      </c>
      <c r="C228" s="139" t="s">
        <v>453</v>
      </c>
      <c r="D228" s="139" t="s">
        <v>454</v>
      </c>
      <c r="E228" s="139" t="s">
        <v>198</v>
      </c>
      <c r="F228" s="139" t="s">
        <v>554</v>
      </c>
      <c r="G228" s="139" t="s">
        <v>471</v>
      </c>
      <c r="H228" s="139" t="str">
        <f>'[10]Resumen Elly Almánzar SEPT..20'!H15</f>
        <v>Detenido pago cubicación</v>
      </c>
      <c r="I228" s="139">
        <f>'[10]Resumen Elly Almánzar SEPT..20'!I15</f>
        <v>0</v>
      </c>
      <c r="J228" s="249" t="str">
        <f>'[10]Resumen Elly Almánzar SEPT..20'!J15</f>
        <v>CAIPI detenido por pago de cubicación desde 22 de julio del 2020. Avanzó los muros de block del segundo piso a nivel de viga de amarre.</v>
      </c>
      <c r="K228" s="139" t="str">
        <f>'[10]Resumen Elly Almánzar SEPT..20'!K15</f>
        <v>19.50873; -70.75906</v>
      </c>
      <c r="L228" s="139" t="str">
        <f>'[10]Resumen Elly Almánzar SEPT..20'!L15</f>
        <v>2N</v>
      </c>
      <c r="M228" s="22" t="str">
        <f>'[10]Resumen Elly Almánzar SEPT..20'!M15</f>
        <v>OSIRIS LIBERATO</v>
      </c>
      <c r="N228" s="139" t="str">
        <f>'[10]Resumen Elly Almánzar SEPT..20'!N15</f>
        <v>(829)230-1948</v>
      </c>
      <c r="O228" s="139">
        <f>'[10]Resumen Elly Almánzar SEPT..20'!O15</f>
        <v>0</v>
      </c>
      <c r="P228" s="139" t="str">
        <f>'[10]Resumen Elly Almánzar SEPT..20'!P15</f>
        <v>2DO</v>
      </c>
      <c r="Q228" s="152">
        <f>'[10]Resumen Elly Almánzar SEPT..20'!Q15</f>
        <v>0.32</v>
      </c>
      <c r="V228" s="7" t="s">
        <v>552</v>
      </c>
    </row>
    <row r="229" spans="1:22" s="7" customFormat="1" ht="94.5" x14ac:dyDescent="0.25">
      <c r="A229" s="190">
        <f t="shared" si="3"/>
        <v>218</v>
      </c>
      <c r="B229" s="139" t="s">
        <v>442</v>
      </c>
      <c r="C229" s="139" t="s">
        <v>453</v>
      </c>
      <c r="D229" s="139" t="s">
        <v>453</v>
      </c>
      <c r="E229" s="139" t="s">
        <v>198</v>
      </c>
      <c r="F229" s="139" t="s">
        <v>551</v>
      </c>
      <c r="G229" s="139" t="s">
        <v>684</v>
      </c>
      <c r="H229" s="139" t="str">
        <f>'[10]Resumen Elly Almánzar SEPT..20'!H16</f>
        <v>En Construcción</v>
      </c>
      <c r="I229" s="139">
        <f>'[10]Resumen Elly Almánzar SEPT..20'!I16</f>
        <v>0</v>
      </c>
      <c r="J229" s="249" t="str">
        <f>'[10]Resumen Elly Almánzar SEPT..20'!J16</f>
        <v xml:space="preserve">CAIPI en construcción. Se vaciaron los pichones de columna del comedor y pasarela, se procederá al relleno de zapata, para colocar block bajo nivel de piso. </v>
      </c>
      <c r="K229" s="139" t="str">
        <f>'[10]Resumen Elly Almánzar SEPT..20'!K16</f>
        <v xml:space="preserve">19.420828, -70.686385  </v>
      </c>
      <c r="L229" s="139" t="str">
        <f>'[10]Resumen Elly Almánzar SEPT..20'!L16</f>
        <v>1N</v>
      </c>
      <c r="M229" s="22" t="str">
        <f>'[10]Resumen Elly Almánzar SEPT..20'!M16</f>
        <v>HERALCA SRL/Arturo Arias</v>
      </c>
      <c r="N229" s="139" t="str">
        <f>'[10]Resumen Elly Almánzar SEPT..20'!N16</f>
        <v>(809)616-8411</v>
      </c>
      <c r="O229" s="139" t="str">
        <f>'[10]Resumen Elly Almánzar SEPT..20'!O16</f>
        <v>heralca@gmail.com</v>
      </c>
      <c r="P229" s="139" t="str">
        <f>'[10]Resumen Elly Almánzar SEPT..20'!P16</f>
        <v>2DO</v>
      </c>
      <c r="Q229" s="152">
        <f>'[10]Resumen Elly Almánzar SEPT..20'!Q16</f>
        <v>0.23</v>
      </c>
    </row>
    <row r="230" spans="1:22" s="7" customFormat="1" ht="31.5" x14ac:dyDescent="0.25">
      <c r="A230" s="190">
        <f t="shared" si="3"/>
        <v>219</v>
      </c>
      <c r="B230" s="139" t="s">
        <v>442</v>
      </c>
      <c r="C230" s="139" t="s">
        <v>453</v>
      </c>
      <c r="D230" s="139" t="s">
        <v>454</v>
      </c>
      <c r="E230" s="139" t="s">
        <v>198</v>
      </c>
      <c r="F230" s="139" t="s">
        <v>472</v>
      </c>
      <c r="G230" s="139" t="s">
        <v>683</v>
      </c>
      <c r="H230" s="139" t="str">
        <f>'[10]Resumen Elly Almánzar SEPT..20'!H17</f>
        <v>Inaugurado</v>
      </c>
      <c r="I230" s="139">
        <f>'[10]Resumen Elly Almánzar SEPT..20'!I17</f>
        <v>0</v>
      </c>
      <c r="J230" s="249">
        <f>'[10]Resumen Elly Almánzar SEPT..20'!J17</f>
        <v>0</v>
      </c>
      <c r="K230" s="139" t="str">
        <f>'[10]Resumen Elly Almánzar SEPT..20'!K17</f>
        <v xml:space="preserve">19.485475, -70.702501 </v>
      </c>
      <c r="L230" s="139" t="str">
        <f>'[10]Resumen Elly Almánzar SEPT..20'!L17</f>
        <v>1N</v>
      </c>
      <c r="M230" s="22" t="str">
        <f>'[10]Resumen Elly Almánzar SEPT..20'!M17</f>
        <v>Rafael Antonio Dominguez Capellan</v>
      </c>
      <c r="N230" s="139" t="str">
        <f>'[10]Resumen Elly Almánzar SEPT..20'!N17</f>
        <v>(809)710-3118</v>
      </c>
      <c r="O230" s="139" t="str">
        <f>'[10]Resumen Elly Almánzar SEPT..20'!O17</f>
        <v>rd_dguez@yahoo.com</v>
      </c>
      <c r="P230" s="139" t="str">
        <f>'[10]Resumen Elly Almánzar SEPT..20'!P17</f>
        <v>2DO</v>
      </c>
      <c r="Q230" s="16">
        <f>'[10]Resumen Elly Almánzar SEPT..20'!Q17</f>
        <v>1</v>
      </c>
    </row>
    <row r="231" spans="1:22" s="7" customFormat="1" ht="63" x14ac:dyDescent="0.25">
      <c r="A231" s="190">
        <f t="shared" si="3"/>
        <v>220</v>
      </c>
      <c r="B231" s="139" t="s">
        <v>442</v>
      </c>
      <c r="C231" s="139" t="s">
        <v>453</v>
      </c>
      <c r="D231" s="139" t="s">
        <v>454</v>
      </c>
      <c r="E231" s="139" t="s">
        <v>198</v>
      </c>
      <c r="F231" s="139" t="s">
        <v>553</v>
      </c>
      <c r="G231" s="139" t="s">
        <v>553</v>
      </c>
      <c r="H231" s="139" t="str">
        <f>'[10]Resumen Elly Almánzar SEPT..20'!H18</f>
        <v>Detenido pago cubicación</v>
      </c>
      <c r="I231" s="139">
        <f>'[10]Resumen Elly Almánzar SEPT..20'!I18</f>
        <v>0</v>
      </c>
      <c r="J231" s="249" t="str">
        <f>'[10]Resumen Elly Almánzar SEPT..20'!J18</f>
        <v>CAIPI detenido por cubicaciones pendientes desde 13 de julio 2020, realizo el pañete de techo en el módulo de 1ª2 años..</v>
      </c>
      <c r="K231" s="139" t="str">
        <f>'[10]Resumen Elly Almánzar SEPT..20'!K18</f>
        <v>19.447808, -70.730011</v>
      </c>
      <c r="L231" s="139" t="str">
        <f>'[10]Resumen Elly Almánzar SEPT..20'!L18</f>
        <v>1N</v>
      </c>
      <c r="M231" s="22" t="str">
        <f>'[10]Resumen Elly Almánzar SEPT..20'!M18</f>
        <v>Eduardo de León</v>
      </c>
      <c r="N231" s="139" t="str">
        <f>'[10]Resumen Elly Almánzar SEPT..20'!N18</f>
        <v>(809)399-1763</v>
      </c>
      <c r="O231" s="139" t="str">
        <f>'[10]Resumen Elly Almánzar SEPT..20'!O18</f>
        <v>ing.eduardodeleon@gmail.com</v>
      </c>
      <c r="P231" s="139" t="str">
        <f>'[10]Resumen Elly Almánzar SEPT..20'!P18</f>
        <v>2DO</v>
      </c>
      <c r="Q231" s="152">
        <f>'[10]Resumen Elly Almánzar SEPT..20'!Q18</f>
        <v>0.33</v>
      </c>
    </row>
    <row r="232" spans="1:22" s="7" customFormat="1" ht="24.75" customHeight="1" x14ac:dyDescent="0.25">
      <c r="A232" s="190">
        <f t="shared" si="3"/>
        <v>221</v>
      </c>
      <c r="B232" s="139" t="s">
        <v>442</v>
      </c>
      <c r="C232" s="139" t="s">
        <v>453</v>
      </c>
      <c r="D232" s="139" t="s">
        <v>473</v>
      </c>
      <c r="E232" s="139" t="s">
        <v>158</v>
      </c>
      <c r="F232" s="139" t="s">
        <v>474</v>
      </c>
      <c r="G232" s="139" t="s">
        <v>474</v>
      </c>
      <c r="H232" s="139" t="str">
        <f>'[10]Resumen Elly Almánzar SEPT..20'!H19</f>
        <v>Inaugurado</v>
      </c>
      <c r="I232" s="139">
        <f>'[10]Resumen Elly Almánzar SEPT..20'!I19</f>
        <v>0</v>
      </c>
      <c r="J232" s="249">
        <f>'[10]Resumen Elly Almánzar SEPT..20'!J19</f>
        <v>0</v>
      </c>
      <c r="K232" s="139">
        <f>'[10]Resumen Elly Almánzar SEPT..20'!K19</f>
        <v>0</v>
      </c>
      <c r="L232" s="139">
        <f>'[10]Resumen Elly Almánzar SEPT..20'!L19</f>
        <v>0</v>
      </c>
      <c r="M232" s="139" t="str">
        <f>'[10]Resumen Elly Almánzar SEPT..20'!M19</f>
        <v>Daniel Ant. Suarez</v>
      </c>
      <c r="N232" s="139">
        <f>'[10]Resumen Elly Almánzar SEPT..20'!N19</f>
        <v>0</v>
      </c>
      <c r="O232" s="139">
        <f>'[10]Resumen Elly Almánzar SEPT..20'!O19</f>
        <v>0</v>
      </c>
      <c r="P232" s="139" t="str">
        <f>'[10]Resumen Elly Almánzar SEPT..20'!P19</f>
        <v>1ER</v>
      </c>
      <c r="Q232" s="152">
        <f>'[10]Resumen Elly Almánzar SEPT..20'!Q19</f>
        <v>1</v>
      </c>
    </row>
    <row r="233" spans="1:22" s="7" customFormat="1" ht="197.25" customHeight="1" x14ac:dyDescent="0.25">
      <c r="A233" s="190">
        <f t="shared" si="3"/>
        <v>222</v>
      </c>
      <c r="B233" s="139" t="s">
        <v>437</v>
      </c>
      <c r="C233" s="139" t="s">
        <v>453</v>
      </c>
      <c r="D233" s="139" t="s">
        <v>557</v>
      </c>
      <c r="E233" s="139" t="s">
        <v>158</v>
      </c>
      <c r="F233" s="139" t="s">
        <v>574</v>
      </c>
      <c r="G233" s="139">
        <f>[9]Hoja1!F30</f>
        <v>0</v>
      </c>
      <c r="H233" s="139" t="str">
        <f>'[9]´Resumen Isania Muñoz Sep. 2020'!H29</f>
        <v>Detenido</v>
      </c>
      <c r="I233" s="209">
        <f>'[9]´Resumen Isania Muñoz Sep. 2020'!I29</f>
        <v>0</v>
      </c>
      <c r="J233" s="253" t="str">
        <f>'[9]´Resumen Isania Muñoz Sep. 2020'!J29</f>
        <v xml:space="preserve">CAIPI detenido desde el día 10/01/2019. Los resultados de los análisis de resistencia no fueron satisfactorio. La supervisión del MOPC le indicó que debe vaciar otra torta de hormigón para que alcance la resistencia. El contratista no ha cumplido con lo acordado y será puesto de rescinsión. </v>
      </c>
      <c r="K233" s="159" t="str">
        <f>'[9]´Resumen Isania Muñoz Sep. 2020'!K29</f>
        <v>19.477878, -70.814517</v>
      </c>
      <c r="L233" s="159" t="str">
        <f>'[9]´Resumen Isania Muñoz Sep. 2020'!L29</f>
        <v>1N</v>
      </c>
      <c r="M233" s="315" t="str">
        <f>'[9]´Resumen Isania Muñoz Sep. 2020'!M29</f>
        <v>Giovanny Bienvenido Rodríguez</v>
      </c>
      <c r="N233" s="139">
        <f>'[9]´Resumen Isania Muñoz Sep. 2020'!N29</f>
        <v>0</v>
      </c>
      <c r="O233" s="139" t="str">
        <f>'[9]´Resumen Isania Muñoz Sep. 2020'!O29</f>
        <v>m_salasreyes@hotmail.com</v>
      </c>
      <c r="P233" s="139" t="str">
        <f>'[9]´Resumen Isania Muñoz Sep. 2020'!P29</f>
        <v>2DO</v>
      </c>
      <c r="Q233" s="152">
        <f>'[9]´Resumen Isania Muñoz Sep. 2020'!Q29</f>
        <v>0.2</v>
      </c>
    </row>
    <row r="234" spans="1:22" s="7" customFormat="1" ht="63" x14ac:dyDescent="0.25">
      <c r="A234" s="190">
        <f t="shared" si="3"/>
        <v>223</v>
      </c>
      <c r="B234" s="290" t="s">
        <v>442</v>
      </c>
      <c r="C234" s="290" t="s">
        <v>453</v>
      </c>
      <c r="D234" s="290" t="s">
        <v>453</v>
      </c>
      <c r="E234" s="290" t="s">
        <v>617</v>
      </c>
      <c r="F234" s="290" t="s">
        <v>669</v>
      </c>
      <c r="G234" s="290" t="s">
        <v>668</v>
      </c>
      <c r="H234" s="139" t="str">
        <f>'[10]Resumen Elly Almánzar SEPT..20'!H20</f>
        <v>Sin Iniciar</v>
      </c>
      <c r="I234" s="209" t="str">
        <f>'[10]Resumen Elly Almánzar SEPT..20'!I20</f>
        <v xml:space="preserve">Sin Propuesta </v>
      </c>
      <c r="J234" s="253" t="str">
        <f>'[10]Resumen Elly Almánzar SEPT..20'!J20</f>
        <v>En espera para ser reubicado tiene el dinero de  avance constructivo.</v>
      </c>
      <c r="K234" s="159">
        <f>'[10]Resumen Elly Almánzar SEPT..20'!K20</f>
        <v>0</v>
      </c>
      <c r="L234" s="159">
        <f>'[10]Resumen Elly Almánzar SEPT..20'!L20</f>
        <v>0</v>
      </c>
      <c r="M234" s="139" t="str">
        <f>'[10]Resumen Elly Almánzar SEPT..20'!M20</f>
        <v>Francisco Rene Quintana Alvarez</v>
      </c>
      <c r="N234" s="139" t="str">
        <f>'[10]Resumen Elly Almánzar SEPT..20'!N20</f>
        <v>(809)971-8103</v>
      </c>
      <c r="O234" s="139">
        <f>'[10]Resumen Elly Almánzar SEPT..20'!O20</f>
        <v>0</v>
      </c>
      <c r="P234" s="139" t="str">
        <f>'[10]Resumen Elly Almánzar SEPT..20'!P20</f>
        <v>2DO</v>
      </c>
      <c r="Q234" s="152">
        <f>'[10]Resumen Elly Almánzar SEPT..20'!Q20</f>
        <v>0</v>
      </c>
      <c r="R234" s="7">
        <f>'[10]Resumen Elly Almánzar SEPT..20'!R20</f>
        <v>0</v>
      </c>
    </row>
    <row r="235" spans="1:22" s="7" customFormat="1" ht="162.75" customHeight="1" x14ac:dyDescent="0.25">
      <c r="A235" s="190">
        <f t="shared" si="3"/>
        <v>224</v>
      </c>
      <c r="B235" s="139" t="s">
        <v>442</v>
      </c>
      <c r="C235" s="139" t="s">
        <v>453</v>
      </c>
      <c r="D235" s="139" t="s">
        <v>475</v>
      </c>
      <c r="E235" s="139" t="s">
        <v>144</v>
      </c>
      <c r="F235" s="139" t="s">
        <v>592</v>
      </c>
      <c r="G235" s="139" t="s">
        <v>556</v>
      </c>
      <c r="H235" s="139" t="str">
        <f>'[10]Resumen Elly Almánzar SEPT..20'!H21</f>
        <v>En Construcción</v>
      </c>
      <c r="I235" s="209">
        <f>'[10]Resumen Elly Almánzar SEPT..20'!I21</f>
        <v>0</v>
      </c>
      <c r="J235" s="253" t="str">
        <f>'[10]Resumen Elly Almánzar SEPT..20'!J21</f>
        <v>CAIPI en construcción reorganiza los trabajadores para el iniciar los procesos constructivos en octubre 2020</v>
      </c>
      <c r="K235" s="158" t="str">
        <f>'[10]Resumen Elly Almánzar SEPT..20'!K21</f>
        <v>19.341560, -70.935220</v>
      </c>
      <c r="L235" s="159" t="str">
        <f>'[10]Resumen Elly Almánzar SEPT..20'!L21</f>
        <v>2N</v>
      </c>
      <c r="M235" s="22" t="str">
        <f>'[10]Resumen Elly Almánzar SEPT..20'!M21</f>
        <v>Cyndi Johanna Castillo Calderon</v>
      </c>
      <c r="N235" s="139" t="str">
        <f>'[10]Resumen Elly Almánzar SEPT..20'!N21</f>
        <v>(809)879-1712</v>
      </c>
      <c r="O235" s="139" t="str">
        <f>'[10]Resumen Elly Almánzar SEPT..20'!O21</f>
        <v>cyndi_castillo@hotmail.com</v>
      </c>
      <c r="P235" s="139" t="str">
        <f>'[10]Resumen Elly Almánzar SEPT..20'!P21</f>
        <v>2DO</v>
      </c>
      <c r="Q235" s="152">
        <f>'[10]Resumen Elly Almánzar SEPT..20'!Q21</f>
        <v>0.06</v>
      </c>
      <c r="R235" s="7">
        <f>'[10]Resumen Elly Almánzar SEPT..20'!R21</f>
        <v>0</v>
      </c>
    </row>
    <row r="236" spans="1:22" s="7" customFormat="1" ht="82.5" customHeight="1" x14ac:dyDescent="0.25">
      <c r="A236" s="190">
        <f t="shared" si="3"/>
        <v>225</v>
      </c>
      <c r="B236" s="139" t="s">
        <v>442</v>
      </c>
      <c r="C236" s="139" t="s">
        <v>453</v>
      </c>
      <c r="D236" s="139" t="s">
        <v>453</v>
      </c>
      <c r="E236" s="139" t="s">
        <v>158</v>
      </c>
      <c r="F236" s="139" t="s">
        <v>565</v>
      </c>
      <c r="G236" s="139" t="s">
        <v>555</v>
      </c>
      <c r="H236" s="139" t="str">
        <f>'[10]Resumen Elly Almánzar SEPT..20'!H22</f>
        <v>Detenido</v>
      </c>
      <c r="I236" s="209">
        <f>'[10]Resumen Elly Almánzar SEPT..20'!I22</f>
        <v>0</v>
      </c>
      <c r="J236" s="253" t="str">
        <f>'[10]Resumen Elly Almánzar SEPT..20'!J22</f>
        <v>CAIPI en construcción, reinicio los procesos constructivos, espera a que el agrimensor esté disponible para ratificaciones de puntos de la verja perimetral.</v>
      </c>
      <c r="K236" s="158">
        <f>'[10]Resumen Elly Almánzar SEPT..20'!K22</f>
        <v>0</v>
      </c>
      <c r="L236" s="159">
        <f>'[10]Resumen Elly Almánzar SEPT..20'!L22</f>
        <v>0</v>
      </c>
      <c r="M236" s="22" t="str">
        <f>'[10]Resumen Elly Almánzar SEPT..20'!M22</f>
        <v>Luis Manuel Concepción</v>
      </c>
      <c r="N236" s="139" t="str">
        <f>'[10]Resumen Elly Almánzar SEPT..20'!N22</f>
        <v>(809)941-5367</v>
      </c>
      <c r="O236" s="139">
        <f>'[10]Resumen Elly Almánzar SEPT..20'!O22</f>
        <v>0</v>
      </c>
      <c r="P236" s="139" t="str">
        <f>'[10]Resumen Elly Almánzar SEPT..20'!P22</f>
        <v>2DO</v>
      </c>
      <c r="Q236" s="152">
        <f>'[10]Resumen Elly Almánzar SEPT..20'!Q22</f>
        <v>0.03</v>
      </c>
      <c r="R236" s="7">
        <f>'[10]Resumen Elly Almánzar SEPT..20'!R22</f>
        <v>0</v>
      </c>
    </row>
    <row r="237" spans="1:22" s="7" customFormat="1" ht="78.75" x14ac:dyDescent="0.25">
      <c r="A237" s="190">
        <f t="shared" si="3"/>
        <v>226</v>
      </c>
      <c r="B237" s="290" t="s">
        <v>395</v>
      </c>
      <c r="C237" s="290" t="s">
        <v>403</v>
      </c>
      <c r="D237" s="290" t="s">
        <v>619</v>
      </c>
      <c r="E237" s="290" t="s">
        <v>618</v>
      </c>
      <c r="F237" s="290" t="s">
        <v>670</v>
      </c>
      <c r="G237" s="290" t="s">
        <v>619</v>
      </c>
      <c r="H237" s="140" t="str">
        <f>'[7]Resumen Anny Almanzar septi2020'!H35</f>
        <v>Sin Iniciar</v>
      </c>
      <c r="I237" s="209" t="str">
        <f>'[7]Resumen Anny Almanzar septi2020'!I35</f>
        <v xml:space="preserve">Con Propuesta </v>
      </c>
      <c r="J237" s="253" t="str">
        <f>'[7]Resumen Anny Almanzar septi2020'!J35</f>
        <v xml:space="preserve">  </v>
      </c>
      <c r="K237" s="159" t="str">
        <f>'[7]Resumen Anny Almanzar septi2020'!K35</f>
        <v xml:space="preserve"> 19.372709, -70.355916</v>
      </c>
      <c r="L237" s="159">
        <f>'[7]Resumen Anny Almanzar septi2020'!L35</f>
        <v>0</v>
      </c>
      <c r="M237" s="140" t="str">
        <f>'[7]Resumen Anny Almanzar septi2020'!M35</f>
        <v>MIDRIAN YLUMINADA SALAS REYES</v>
      </c>
      <c r="N237" s="140" t="str">
        <f>'[7]Resumen Anny Almanzar septi2020'!N35</f>
        <v>(809)696-6069</v>
      </c>
      <c r="O237" s="140" t="str">
        <f>'[7]Resumen Anny Almanzar septi2020'!O35</f>
        <v>arq.jesusnunez@gmail.com</v>
      </c>
      <c r="P237" s="152" t="str">
        <f>'[7]Resumen Anny Almanzar septi2020'!P35</f>
        <v>1ER</v>
      </c>
      <c r="Q237" s="152">
        <f>'[7]Resumen Anny Almanzar septi2020'!Q35</f>
        <v>0</v>
      </c>
    </row>
    <row r="238" spans="1:22" s="7" customFormat="1" ht="31.5" x14ac:dyDescent="0.25">
      <c r="A238" s="190">
        <f t="shared" si="3"/>
        <v>227</v>
      </c>
      <c r="B238" s="139" t="s">
        <v>437</v>
      </c>
      <c r="C238" s="139" t="s">
        <v>453</v>
      </c>
      <c r="D238" s="139" t="s">
        <v>477</v>
      </c>
      <c r="E238" s="139" t="s">
        <v>144</v>
      </c>
      <c r="F238" s="139" t="s">
        <v>478</v>
      </c>
      <c r="G238" s="139" t="s">
        <v>479</v>
      </c>
      <c r="H238" s="139" t="str">
        <f>'[9]´Resumen Isania Muñoz Sep. 2020'!H30</f>
        <v>Inaugurado</v>
      </c>
      <c r="I238" s="209">
        <f>'[9]´Resumen Isania Muñoz Sep. 2020'!I30</f>
        <v>0</v>
      </c>
      <c r="J238" s="253">
        <f>'[9]´Resumen Isania Muñoz Sep. 2020'!J30</f>
        <v>0</v>
      </c>
      <c r="K238" s="159">
        <f>'[9]´Resumen Isania Muñoz Sep. 2020'!K30</f>
        <v>0</v>
      </c>
      <c r="L238" s="159">
        <f>'[9]´Resumen Isania Muñoz Sep. 2020'!L30</f>
        <v>0</v>
      </c>
      <c r="M238" s="139" t="str">
        <f>'[9]´Resumen Isania Muñoz Sep. 2020'!M30</f>
        <v>SELVA PAOLA MUÑOZ MOREL</v>
      </c>
      <c r="N238" s="139">
        <f>'[9]´Resumen Isania Muñoz Sep. 2020'!N30</f>
        <v>8492056710</v>
      </c>
      <c r="O238" s="139" t="str">
        <f>'[9]´Resumen Isania Muñoz Sep. 2020'!O30</f>
        <v>selva_munoz@hotmail.com</v>
      </c>
      <c r="P238" s="139" t="str">
        <f>'[9]´Resumen Isania Muñoz Sep. 2020'!P30</f>
        <v>1ER</v>
      </c>
      <c r="Q238" s="152">
        <f>'[9]´Resumen Isania Muñoz Sep. 2020'!Q30</f>
        <v>1</v>
      </c>
    </row>
    <row r="239" spans="1:22" s="7" customFormat="1" ht="31.5" x14ac:dyDescent="0.25">
      <c r="A239" s="190">
        <f t="shared" si="3"/>
        <v>228</v>
      </c>
      <c r="B239" s="139" t="s">
        <v>437</v>
      </c>
      <c r="C239" s="139" t="s">
        <v>453</v>
      </c>
      <c r="D239" s="139" t="s">
        <v>476</v>
      </c>
      <c r="E239" s="139" t="s">
        <v>144</v>
      </c>
      <c r="F239" s="139" t="s">
        <v>480</v>
      </c>
      <c r="G239" s="139" t="s">
        <v>481</v>
      </c>
      <c r="H239" s="139" t="str">
        <f>'[9]´Resumen Isania Muñoz Sep. 2020'!H31</f>
        <v>Inaugurado</v>
      </c>
      <c r="I239" s="209">
        <f>'[9]´Resumen Isania Muñoz Sep. 2020'!I31</f>
        <v>0</v>
      </c>
      <c r="J239" s="253">
        <f>'[9]´Resumen Isania Muñoz Sep. 2020'!J31</f>
        <v>0</v>
      </c>
      <c r="K239" s="159">
        <f>'[9]´Resumen Isania Muñoz Sep. 2020'!K31</f>
        <v>0</v>
      </c>
      <c r="L239" s="159">
        <f>'[9]´Resumen Isania Muñoz Sep. 2020'!L31</f>
        <v>0</v>
      </c>
      <c r="M239" s="139" t="str">
        <f>'[9]´Resumen Isania Muñoz Sep. 2020'!M31</f>
        <v>Manuel Ernesto Ortiz Durán</v>
      </c>
      <c r="N239" s="139">
        <f>'[9]´Resumen Isania Muñoz Sep. 2020'!N31</f>
        <v>0</v>
      </c>
      <c r="O239" s="139">
        <f>'[9]´Resumen Isania Muñoz Sep. 2020'!O31</f>
        <v>0</v>
      </c>
      <c r="P239" s="139" t="str">
        <f>'[9]´Resumen Isania Muñoz Sep. 2020'!P31</f>
        <v>1ER</v>
      </c>
      <c r="Q239" s="152">
        <f>'[9]´Resumen Isania Muñoz Sep. 2020'!Q31</f>
        <v>1</v>
      </c>
    </row>
    <row r="240" spans="1:22" s="7" customFormat="1" ht="252" x14ac:dyDescent="0.25">
      <c r="A240" s="190">
        <f t="shared" si="3"/>
        <v>229</v>
      </c>
      <c r="B240" s="145" t="s">
        <v>442</v>
      </c>
      <c r="C240" s="145" t="s">
        <v>453</v>
      </c>
      <c r="D240" s="145" t="s">
        <v>476</v>
      </c>
      <c r="E240" s="145" t="s">
        <v>144</v>
      </c>
      <c r="F240" s="145" t="s">
        <v>482</v>
      </c>
      <c r="G240" s="145" t="s">
        <v>682</v>
      </c>
      <c r="H240" s="145" t="str">
        <f>'[10]Resumen Elly Almánzar SEPT..20'!H23</f>
        <v>Detenido</v>
      </c>
      <c r="I240" s="212">
        <f>'[10]Resumen Elly Almánzar SEPT..20'!I23</f>
        <v>0</v>
      </c>
      <c r="J240" s="252" t="str">
        <f>'[10]Resumen Elly Almánzar SEPT..20'!J23</f>
        <v>CAIPI detenido. El 27/08/2018 el MOPC recibió el estudio de suelo. Tiene el avance de obra. El propietario del terreno no le permitía trabajar hasta recibir el pago del terreno que habían vendido para un politécnico. Recibió dicho pago y aún no completa los documentos para firmar el nuevo contrato del terreno del CAIPI. Ha cambiado la versión varias veces y actualmente no permite iniciar los trabajos, bajo el alegato de que no ha firmado (pero la firma solo depende de él)</v>
      </c>
      <c r="K240" s="187" t="str">
        <f>'[10]Resumen Elly Almánzar SEPT..20'!K23</f>
        <v>19.559062, -70.864649</v>
      </c>
      <c r="L240" s="188">
        <f>'[10]Resumen Elly Almánzar SEPT..20'!L23</f>
        <v>0</v>
      </c>
      <c r="M240" s="23" t="str">
        <f>'[10]Resumen Elly Almánzar SEPT..20'!M23</f>
        <v>Luis Ernesto Gobaira Maluf</v>
      </c>
      <c r="N240" s="145" t="str">
        <f>'[10]Resumen Elly Almánzar SEPT..20'!N23</f>
        <v>(809)710-2611</v>
      </c>
      <c r="O240" s="145" t="str">
        <f>'[10]Resumen Elly Almánzar SEPT..20'!O23</f>
        <v>luisgobaira@hotmail.com</v>
      </c>
      <c r="P240" s="145" t="str">
        <f>'[10]Resumen Elly Almánzar SEPT..20'!P23</f>
        <v>2DO</v>
      </c>
      <c r="Q240" s="147">
        <f>'[10]Resumen Elly Almánzar SEPT..20'!Q23</f>
        <v>0</v>
      </c>
    </row>
    <row r="241" spans="1:25" s="7" customFormat="1" ht="31.5" x14ac:dyDescent="0.25">
      <c r="A241" s="190">
        <f t="shared" si="3"/>
        <v>230</v>
      </c>
      <c r="B241" s="137" t="s">
        <v>437</v>
      </c>
      <c r="C241" s="137" t="s">
        <v>483</v>
      </c>
      <c r="D241" s="137" t="s">
        <v>484</v>
      </c>
      <c r="E241" s="137" t="s">
        <v>144</v>
      </c>
      <c r="F241" s="137" t="s">
        <v>485</v>
      </c>
      <c r="G241" s="137" t="s">
        <v>486</v>
      </c>
      <c r="H241" s="137" t="str">
        <f>'[9]´Resumen Isania Muñoz Sep. 2020'!H32</f>
        <v>Inaugurado</v>
      </c>
      <c r="I241" s="213">
        <f>'[9]´Resumen Isania Muñoz Sep. 2020'!I32</f>
        <v>0</v>
      </c>
      <c r="J241" s="251">
        <f>'[9]´Resumen Isania Muñoz Sep. 2020'!J32</f>
        <v>0</v>
      </c>
      <c r="K241" s="195">
        <f>'[9]´Resumen Isania Muñoz Sep. 2020'!K32</f>
        <v>0</v>
      </c>
      <c r="L241" s="195">
        <f>'[9]´Resumen Isania Muñoz Sep. 2020'!L32</f>
        <v>0</v>
      </c>
      <c r="M241" s="139" t="str">
        <f>'[9]´Resumen Isania Muñoz Sep. 2020'!M32</f>
        <v>Abraham D. de Jesús</v>
      </c>
      <c r="N241" s="137">
        <f>'[9]´Resumen Isania Muñoz Sep. 2020'!N32</f>
        <v>0</v>
      </c>
      <c r="O241" s="137">
        <f>'[9]´Resumen Isania Muñoz Sep. 2020'!O32</f>
        <v>0</v>
      </c>
      <c r="P241" s="137" t="str">
        <f>'[9]´Resumen Isania Muñoz Sep. 2020'!P32</f>
        <v>1ER</v>
      </c>
      <c r="Q241" s="149">
        <f>'[9]´Resumen Isania Muñoz Sep. 2020'!Q32</f>
        <v>1</v>
      </c>
    </row>
    <row r="242" spans="1:25" s="7" customFormat="1" ht="189" x14ac:dyDescent="0.25">
      <c r="A242" s="190">
        <f t="shared" si="3"/>
        <v>231</v>
      </c>
      <c r="B242" s="139" t="s">
        <v>437</v>
      </c>
      <c r="C242" s="139" t="s">
        <v>483</v>
      </c>
      <c r="D242" s="217" t="s">
        <v>487</v>
      </c>
      <c r="E242" s="139" t="s">
        <v>144</v>
      </c>
      <c r="F242" s="156" t="s">
        <v>671</v>
      </c>
      <c r="G242" s="139" t="s">
        <v>488</v>
      </c>
      <c r="H242" s="139" t="str">
        <f>'[9]´Resumen Isania Muñoz Sep. 2020'!H33</f>
        <v>Detenido pago cubicación</v>
      </c>
      <c r="I242" s="209">
        <f>'[9]´Resumen Isania Muñoz Sep. 2020'!I33</f>
        <v>0</v>
      </c>
      <c r="J242" s="253" t="str">
        <f>'[9]´Resumen Isania Muñoz Sep. 2020'!J33</f>
        <v>CAIPI Detenido, desde el 19 de febrero del 2020. El contratista solicitó revisión del presupuesto del vaciado de la columna, alegando que el costo está por encima del presupuesto. Sólo queda pendiente el pago de un 30 % de la cubicación. Se le entregaron los detalles de la zapata de muro.  El contratista dice que está a la espera de la revisión.</v>
      </c>
      <c r="K242" s="159" t="str">
        <f>'[9]´Resumen Isania Muñoz Sep. 2020'!K33</f>
        <v>19.409690, -71.434408</v>
      </c>
      <c r="L242" s="159" t="str">
        <f>'[9]´Resumen Isania Muñoz Sep. 2020'!L33</f>
        <v>1N</v>
      </c>
      <c r="M242" s="22" t="str">
        <f>'[9]´Resumen Isania Muñoz Sep. 2020'!M33</f>
        <v>Cristian Cabrera</v>
      </c>
      <c r="N242" s="139">
        <f>'[9]´Resumen Isania Muñoz Sep. 2020'!N33</f>
        <v>0</v>
      </c>
      <c r="O242" s="139">
        <f>'[9]´Resumen Isania Muñoz Sep. 2020'!O33</f>
        <v>0</v>
      </c>
      <c r="P242" s="139" t="str">
        <f>'[9]´Resumen Isania Muñoz Sep. 2020'!P33</f>
        <v>2DO</v>
      </c>
      <c r="Q242" s="152">
        <f>'[9]´Resumen Isania Muñoz Sep. 2020'!Q33</f>
        <v>0.2</v>
      </c>
    </row>
    <row r="243" spans="1:25" s="7" customFormat="1" ht="117" customHeight="1" x14ac:dyDescent="0.25">
      <c r="A243" s="190">
        <f t="shared" si="3"/>
        <v>232</v>
      </c>
      <c r="B243" s="145" t="s">
        <v>437</v>
      </c>
      <c r="C243" s="145" t="s">
        <v>483</v>
      </c>
      <c r="D243" s="220" t="s">
        <v>673</v>
      </c>
      <c r="E243" s="220" t="s">
        <v>673</v>
      </c>
      <c r="F243" s="220" t="s">
        <v>673</v>
      </c>
      <c r="G243" s="145" t="s">
        <v>672</v>
      </c>
      <c r="H243" s="145" t="str">
        <f>'[9]´Resumen Isania Muñoz Sep. 2020'!H34</f>
        <v>Detenido</v>
      </c>
      <c r="I243" s="212">
        <f>'[9]´Resumen Isania Muñoz Sep. 2020'!I34</f>
        <v>0</v>
      </c>
      <c r="J243" s="252" t="str">
        <f>'[9]´Resumen Isania Muñoz Sep. 2020'!J34</f>
        <v>CAIPI detenido desde la segunda mitad de enero del 2020. Vacio losa de entrepiso, el Contratista recibió el pago de la cubicación pendiente y aún no ha reiniciado los trabajos.</v>
      </c>
      <c r="K243" s="188" t="str">
        <f>'[9]´Resumen Isania Muñoz Sep. 2020'!K34</f>
        <v>19.414347, -71.148909</v>
      </c>
      <c r="L243" s="188" t="str">
        <f>'[9]´Resumen Isania Muñoz Sep. 2020'!L34</f>
        <v>2N</v>
      </c>
      <c r="M243" s="23" t="str">
        <f>'[9]´Resumen Isania Muñoz Sep. 2020'!M34</f>
        <v>Teodoro Tejada</v>
      </c>
      <c r="N243" s="145" t="str">
        <f>'[9]´Resumen Isania Muñoz Sep. 2020'!N34</f>
        <v>809-390-6154</v>
      </c>
      <c r="O243" s="145" t="str">
        <f>'[9]´Resumen Isania Muñoz Sep. 2020'!O34</f>
        <v>victorbueno28@hotmail.com</v>
      </c>
      <c r="P243" s="145" t="str">
        <f>'[9]´Resumen Isania Muñoz Sep. 2020'!P34</f>
        <v>2DO</v>
      </c>
      <c r="Q243" s="147">
        <f>'[9]´Resumen Isania Muñoz Sep. 2020'!Q34</f>
        <v>0.32</v>
      </c>
    </row>
    <row r="244" spans="1:25" s="7" customFormat="1" ht="31.5" x14ac:dyDescent="0.25">
      <c r="A244" s="190">
        <f t="shared" si="3"/>
        <v>233</v>
      </c>
      <c r="B244" s="137" t="s">
        <v>442</v>
      </c>
      <c r="C244" s="137" t="s">
        <v>489</v>
      </c>
      <c r="D244" s="137" t="s">
        <v>490</v>
      </c>
      <c r="E244" s="137" t="s">
        <v>144</v>
      </c>
      <c r="F244" s="137" t="s">
        <v>491</v>
      </c>
      <c r="G244" s="137" t="s">
        <v>491</v>
      </c>
      <c r="H244" s="137" t="str">
        <f>'[10]Resumen Elly Almánzar SEPT..20'!H24</f>
        <v>Inaugurado</v>
      </c>
      <c r="I244" s="213">
        <f>'[10]Resumen Elly Almánzar SEPT..20'!I24</f>
        <v>0</v>
      </c>
      <c r="J244" s="251">
        <f>'[10]Resumen Elly Almánzar SEPT..20'!J24</f>
        <v>0</v>
      </c>
      <c r="K244" s="195">
        <f>'[10]Resumen Elly Almánzar SEPT..20'!K24</f>
        <v>0</v>
      </c>
      <c r="L244" s="195">
        <f>'[10]Resumen Elly Almánzar SEPT..20'!L24</f>
        <v>0</v>
      </c>
      <c r="M244" s="139" t="str">
        <f>'[10]Resumen Elly Almánzar SEPT..20'!M24</f>
        <v>Fausto Ulises Brito</v>
      </c>
      <c r="N244" s="137">
        <f>'[10]Resumen Elly Almánzar SEPT..20'!N24</f>
        <v>0</v>
      </c>
      <c r="O244" s="137">
        <f>'[10]Resumen Elly Almánzar SEPT..20'!O24</f>
        <v>0</v>
      </c>
      <c r="P244" s="137" t="str">
        <f>'[10]Resumen Elly Almánzar SEPT..20'!P24</f>
        <v>1ER</v>
      </c>
      <c r="Q244" s="149">
        <f>'[10]Resumen Elly Almánzar SEPT..20'!Q24</f>
        <v>1</v>
      </c>
    </row>
    <row r="245" spans="1:25" s="136" customFormat="1" ht="119.25" customHeight="1" x14ac:dyDescent="0.25">
      <c r="A245" s="190">
        <f t="shared" si="3"/>
        <v>234</v>
      </c>
      <c r="B245" s="139" t="s">
        <v>442</v>
      </c>
      <c r="C245" s="139" t="s">
        <v>489</v>
      </c>
      <c r="D245" s="139" t="s">
        <v>490</v>
      </c>
      <c r="E245" s="139" t="s">
        <v>144</v>
      </c>
      <c r="F245" s="139" t="s">
        <v>492</v>
      </c>
      <c r="G245" s="139" t="s">
        <v>492</v>
      </c>
      <c r="H245" s="139" t="str">
        <f>'[10]Resumen Elly Almánzar SEPT..20'!H25</f>
        <v>Detenido pago cubicación</v>
      </c>
      <c r="I245" s="209">
        <f>'[10]Resumen Elly Almánzar SEPT..20'!I25</f>
        <v>0</v>
      </c>
      <c r="J245" s="253" t="str">
        <f>'[10]Resumen Elly Almánzar SEPT..20'!J25</f>
        <v xml:space="preserve">CAIPI detenida por pago de cubicación desde el 14 de julio de 2020 por pago de cubicación, trabajaba con la colocación de tuberías eléctricas. </v>
      </c>
      <c r="K245" s="159" t="str">
        <f>'[10]Resumen Elly Almánzar SEPT..20'!K25</f>
        <v>19.574672, -70.981761</v>
      </c>
      <c r="L245" s="159" t="str">
        <f>'[10]Resumen Elly Almánzar SEPT..20'!L25</f>
        <v>1N</v>
      </c>
      <c r="M245" s="22" t="str">
        <f>'[10]Resumen Elly Almánzar SEPT..20'!M25</f>
        <v>Jose Francisco Cabrera Tineo</v>
      </c>
      <c r="N245" s="139" t="str">
        <f>'[10]Resumen Elly Almánzar SEPT..20'!N25</f>
        <v>(809)717-0354</v>
      </c>
      <c r="O245" s="139">
        <f>'[10]Resumen Elly Almánzar SEPT..20'!O25</f>
        <v>0</v>
      </c>
      <c r="P245" s="139" t="str">
        <f>'[10]Resumen Elly Almánzar SEPT..20'!P25</f>
        <v>2DO</v>
      </c>
      <c r="Q245" s="152">
        <f>'[10]Resumen Elly Almánzar SEPT..20'!Q25</f>
        <v>0.69</v>
      </c>
    </row>
    <row r="246" spans="1:25" s="7" customFormat="1" ht="47.25" x14ac:dyDescent="0.25">
      <c r="A246" s="190">
        <f t="shared" si="3"/>
        <v>235</v>
      </c>
      <c r="B246" s="139" t="s">
        <v>442</v>
      </c>
      <c r="C246" s="139" t="s">
        <v>489</v>
      </c>
      <c r="D246" s="139" t="s">
        <v>493</v>
      </c>
      <c r="E246" s="139" t="s">
        <v>124</v>
      </c>
      <c r="F246" s="139" t="s">
        <v>463</v>
      </c>
      <c r="G246" s="139" t="s">
        <v>494</v>
      </c>
      <c r="H246" s="139" t="str">
        <f>'[10]Resumen Elly Almánzar SEPT..20'!H26</f>
        <v>Inaugurado</v>
      </c>
      <c r="I246" s="209">
        <f>'[10]Resumen Elly Almánzar SEPT..20'!I26</f>
        <v>0</v>
      </c>
      <c r="J246" s="253">
        <f>'[10]Resumen Elly Almánzar SEPT..20'!J26</f>
        <v>0</v>
      </c>
      <c r="K246" s="159">
        <f>'[10]Resumen Elly Almánzar SEPT..20'!K26</f>
        <v>0</v>
      </c>
      <c r="L246" s="159">
        <f>'[10]Resumen Elly Almánzar SEPT..20'!L26</f>
        <v>0</v>
      </c>
      <c r="M246" s="139" t="str">
        <f>'[10]Resumen Elly Almánzar SEPT..20'!M26</f>
        <v>Fernando Damián Gómez García</v>
      </c>
      <c r="N246" s="139">
        <f>'[10]Resumen Elly Almánzar SEPT..20'!N26</f>
        <v>0</v>
      </c>
      <c r="O246" s="139">
        <f>'[10]Resumen Elly Almánzar SEPT..20'!O26</f>
        <v>0</v>
      </c>
      <c r="P246" s="139" t="str">
        <f>'[10]Resumen Elly Almánzar SEPT..20'!P26</f>
        <v>1ER</v>
      </c>
      <c r="Q246" s="152">
        <f>'[10]Resumen Elly Almánzar SEPT..20'!Q26</f>
        <v>1</v>
      </c>
    </row>
    <row r="247" spans="1:25" s="7" customFormat="1" ht="173.25" x14ac:dyDescent="0.25">
      <c r="A247" s="190">
        <f t="shared" si="3"/>
        <v>236</v>
      </c>
      <c r="B247" s="139" t="s">
        <v>442</v>
      </c>
      <c r="C247" s="139" t="s">
        <v>489</v>
      </c>
      <c r="D247" s="139" t="s">
        <v>493</v>
      </c>
      <c r="E247" s="139" t="s">
        <v>124</v>
      </c>
      <c r="F247" s="139" t="s">
        <v>495</v>
      </c>
      <c r="G247" s="139" t="s">
        <v>495</v>
      </c>
      <c r="H247" s="139" t="str">
        <f>'[10]Resumen Elly Almánzar SEPT..20'!H27</f>
        <v>Detenido</v>
      </c>
      <c r="I247" s="209">
        <f>'[10]Resumen Elly Almánzar SEPT..20'!I27</f>
        <v>0</v>
      </c>
      <c r="J247" s="253" t="str">
        <f>'[10]Resumen Elly Almánzar SEPT..20'!J27</f>
        <v>CAIPI detenida desde 21 de julio de 2020. Espera desembolso de línea de crédito desde 3 de Julio 2020. Avanzaba con la colocación de tejas en los módulos 1ª2, 3ª4 años, coloca pisos en pasarela de casona y comedor, corrigió muro de área del comedor.  Se sugiere por riesgo para los niños, eliminar las Cyca Revolutas en las jardineras interiores.</v>
      </c>
      <c r="K247" s="159" t="str">
        <f>'[10]Resumen Elly Almánzar SEPT..20'!K27</f>
        <v>19.534553, -71.076933</v>
      </c>
      <c r="L247" s="159" t="str">
        <f>'[10]Resumen Elly Almánzar SEPT..20'!L27</f>
        <v>1N</v>
      </c>
      <c r="M247" s="22" t="str">
        <f>'[10]Resumen Elly Almánzar SEPT..20'!M27</f>
        <v>Robin Rafael del Carmen Taveras Mendoza</v>
      </c>
      <c r="N247" s="139" t="str">
        <f>'[10]Resumen Elly Almánzar SEPT..20'!N27</f>
        <v>(809)674-8750</v>
      </c>
      <c r="O247" s="139">
        <f>'[10]Resumen Elly Almánzar SEPT..20'!O27</f>
        <v>0</v>
      </c>
      <c r="P247" s="139" t="str">
        <f>'[10]Resumen Elly Almánzar SEPT..20'!P27</f>
        <v>2DO</v>
      </c>
      <c r="Q247" s="152">
        <f>'[10]Resumen Elly Almánzar SEPT..20'!Q27</f>
        <v>0.79</v>
      </c>
    </row>
    <row r="248" spans="1:25" s="136" customFormat="1" ht="141.75" x14ac:dyDescent="0.25">
      <c r="A248" s="190">
        <f t="shared" si="3"/>
        <v>237</v>
      </c>
      <c r="B248" s="23" t="s">
        <v>442</v>
      </c>
      <c r="C248" s="23" t="s">
        <v>489</v>
      </c>
      <c r="D248" s="308" t="s">
        <v>626</v>
      </c>
      <c r="E248" s="308" t="s">
        <v>626</v>
      </c>
      <c r="F248" s="308" t="s">
        <v>626</v>
      </c>
      <c r="G248" s="23" t="s">
        <v>674</v>
      </c>
      <c r="H248" s="145" t="str">
        <f>'[10]Resumen Elly Almánzar SEPT..20'!H28</f>
        <v>Detenido</v>
      </c>
      <c r="I248" s="212">
        <f>'[10]Resumen Elly Almánzar SEPT..20'!I28</f>
        <v>0</v>
      </c>
      <c r="J248" s="252" t="str">
        <f>'[10]Resumen Elly Almánzar SEPT..20'!J28</f>
        <v>CAIPI detenido desde 14 de julio de 2020. Realizaba el replanteo del drenaje francés y se observó que este limitaba muy cerca del muro encachado lateral derecho (lado parque), se le comunicó a la supervisión a que se envíen el diseño del muro de contención para evitar el colazo del encache.</v>
      </c>
      <c r="K248" s="188" t="str">
        <f>'[10]Resumen Elly Almánzar SEPT..20'!K28</f>
        <v>19.651576, -71.101738</v>
      </c>
      <c r="L248" s="188" t="str">
        <f>'[10]Resumen Elly Almánzar SEPT..20'!L28</f>
        <v>2N</v>
      </c>
      <c r="M248" s="319" t="str">
        <f>'[10]Resumen Elly Almánzar SEPT..20'!M28</f>
        <v>Jesús Ramón Núñez Mercado</v>
      </c>
      <c r="N248" s="145" t="str">
        <f>'[10]Resumen Elly Almánzar SEPT..20'!N28</f>
        <v>(809)852-8225</v>
      </c>
      <c r="O248" s="145">
        <f>'[10]Resumen Elly Almánzar SEPT..20'!O28</f>
        <v>0</v>
      </c>
      <c r="P248" s="145" t="str">
        <f>'[10]Resumen Elly Almánzar SEPT..20'!P28</f>
        <v>2DO</v>
      </c>
      <c r="Q248" s="147">
        <f>'[10]Resumen Elly Almánzar SEPT..20'!Q28</f>
        <v>0.03</v>
      </c>
    </row>
    <row r="249" spans="1:25" s="7" customFormat="1" ht="47.25" x14ac:dyDescent="0.25">
      <c r="A249" s="190">
        <f t="shared" si="3"/>
        <v>238</v>
      </c>
      <c r="B249" s="137" t="s">
        <v>442</v>
      </c>
      <c r="C249" s="137" t="s">
        <v>464</v>
      </c>
      <c r="D249" s="137" t="s">
        <v>496</v>
      </c>
      <c r="E249" s="137" t="s">
        <v>124</v>
      </c>
      <c r="F249" s="137" t="s">
        <v>341</v>
      </c>
      <c r="G249" s="137" t="s">
        <v>497</v>
      </c>
      <c r="H249" s="137" t="str">
        <f>'[10]Resumen Elly Almánzar SEPT..20'!H29</f>
        <v>Inaugurado</v>
      </c>
      <c r="I249" s="213">
        <f>'[10]Resumen Elly Almánzar SEPT..20'!I29</f>
        <v>0</v>
      </c>
      <c r="J249" s="251">
        <f>'[10]Resumen Elly Almánzar SEPT..20'!J29</f>
        <v>0</v>
      </c>
      <c r="K249" s="195">
        <f>'[10]Resumen Elly Almánzar SEPT..20'!K29</f>
        <v>0</v>
      </c>
      <c r="L249" s="195">
        <f>'[10]Resumen Elly Almánzar SEPT..20'!L29</f>
        <v>0</v>
      </c>
      <c r="M249" s="137" t="str">
        <f>'[10]Resumen Elly Almánzar SEPT..20'!M29</f>
        <v>Franklin Ant. De Jesús Rodríguez</v>
      </c>
      <c r="N249" s="137">
        <f>'[10]Resumen Elly Almánzar SEPT..20'!N29</f>
        <v>0</v>
      </c>
      <c r="O249" s="137">
        <f>'[10]Resumen Elly Almánzar SEPT..20'!O29</f>
        <v>0</v>
      </c>
      <c r="P249" s="137" t="str">
        <f>'[10]Resumen Elly Almánzar SEPT..20'!P29</f>
        <v>1ER</v>
      </c>
      <c r="Q249" s="149">
        <f>'[10]Resumen Elly Almánzar SEPT..20'!Q29</f>
        <v>1</v>
      </c>
    </row>
    <row r="250" spans="1:25" s="7" customFormat="1" ht="47.25" x14ac:dyDescent="0.25">
      <c r="A250" s="190">
        <f t="shared" si="3"/>
        <v>239</v>
      </c>
      <c r="B250" s="139" t="s">
        <v>442</v>
      </c>
      <c r="C250" s="139" t="s">
        <v>464</v>
      </c>
      <c r="D250" s="139" t="s">
        <v>496</v>
      </c>
      <c r="E250" s="139" t="s">
        <v>124</v>
      </c>
      <c r="F250" s="139" t="s">
        <v>498</v>
      </c>
      <c r="G250" s="139" t="s">
        <v>499</v>
      </c>
      <c r="H250" s="139" t="str">
        <f>'[10]Resumen Elly Almánzar SEPT..20'!H30</f>
        <v>Inaugurado</v>
      </c>
      <c r="I250" s="209">
        <f>'[10]Resumen Elly Almánzar SEPT..20'!I30</f>
        <v>0</v>
      </c>
      <c r="J250" s="253">
        <f>'[10]Resumen Elly Almánzar SEPT..20'!J30</f>
        <v>0</v>
      </c>
      <c r="K250" s="159">
        <f>'[10]Resumen Elly Almánzar SEPT..20'!K30</f>
        <v>0</v>
      </c>
      <c r="L250" s="159">
        <f>'[10]Resumen Elly Almánzar SEPT..20'!L30</f>
        <v>0</v>
      </c>
      <c r="M250" s="139" t="str">
        <f>'[10]Resumen Elly Almánzar SEPT..20'!M30</f>
        <v>Constructora Kissmee, CxA /M. Paulino</v>
      </c>
      <c r="N250" s="139">
        <f>'[10]Resumen Elly Almánzar SEPT..20'!N30</f>
        <v>0</v>
      </c>
      <c r="O250" s="139">
        <f>'[10]Resumen Elly Almánzar SEPT..20'!O30</f>
        <v>0</v>
      </c>
      <c r="P250" s="139" t="str">
        <f>'[10]Resumen Elly Almánzar SEPT..20'!P30</f>
        <v>1ER</v>
      </c>
      <c r="Q250" s="152">
        <f>'[10]Resumen Elly Almánzar SEPT..20'!Q30</f>
        <v>1</v>
      </c>
    </row>
    <row r="251" spans="1:25" s="7" customFormat="1" ht="47.25" x14ac:dyDescent="0.25">
      <c r="A251" s="190">
        <f t="shared" si="3"/>
        <v>240</v>
      </c>
      <c r="B251" s="139" t="s">
        <v>442</v>
      </c>
      <c r="C251" s="139" t="s">
        <v>464</v>
      </c>
      <c r="D251" s="139" t="s">
        <v>496</v>
      </c>
      <c r="E251" s="139" t="s">
        <v>124</v>
      </c>
      <c r="F251" s="139" t="s">
        <v>500</v>
      </c>
      <c r="G251" s="139" t="s">
        <v>681</v>
      </c>
      <c r="H251" s="139" t="str">
        <f>'[10]Resumen Elly Almánzar SEPT..20'!H31</f>
        <v>Inaugurado</v>
      </c>
      <c r="I251" s="209">
        <f>'[10]Resumen Elly Almánzar SEPT..20'!I31</f>
        <v>0</v>
      </c>
      <c r="J251" s="253">
        <f>'[10]Resumen Elly Almánzar SEPT..20'!J31</f>
        <v>0</v>
      </c>
      <c r="K251" s="159">
        <f>'[10]Resumen Elly Almánzar SEPT..20'!K31</f>
        <v>0</v>
      </c>
      <c r="L251" s="159">
        <f>'[10]Resumen Elly Almánzar SEPT..20'!L31</f>
        <v>0</v>
      </c>
      <c r="M251" s="22" t="str">
        <f>'[10]Resumen Elly Almánzar SEPT..20'!M31</f>
        <v>Yanery Altagracia Diaz Gomez</v>
      </c>
      <c r="N251" s="139" t="str">
        <f>'[10]Resumen Elly Almánzar SEPT..20'!N31</f>
        <v>(809)720-5113</v>
      </c>
      <c r="O251" s="139">
        <f>'[10]Resumen Elly Almánzar SEPT..20'!O31</f>
        <v>0</v>
      </c>
      <c r="P251" s="139" t="str">
        <f>'[10]Resumen Elly Almánzar SEPT..20'!P31</f>
        <v>2DO</v>
      </c>
      <c r="Q251" s="152">
        <f>'[10]Resumen Elly Almánzar SEPT..20'!Q31</f>
        <v>1</v>
      </c>
    </row>
    <row r="252" spans="1:25" s="7" customFormat="1" ht="63" x14ac:dyDescent="0.25">
      <c r="A252" s="190">
        <f t="shared" si="3"/>
        <v>241</v>
      </c>
      <c r="B252" s="139" t="s">
        <v>442</v>
      </c>
      <c r="C252" s="139" t="s">
        <v>464</v>
      </c>
      <c r="D252" s="139" t="s">
        <v>501</v>
      </c>
      <c r="E252" s="139" t="s">
        <v>144</v>
      </c>
      <c r="F252" s="139" t="s">
        <v>502</v>
      </c>
      <c r="G252" s="139" t="s">
        <v>680</v>
      </c>
      <c r="H252" s="139" t="str">
        <f>'[10]Resumen Elly Almánzar SEPT..20'!H32</f>
        <v>En Construcción</v>
      </c>
      <c r="I252" s="209">
        <f>'[10]Resumen Elly Almánzar SEPT..20'!I32</f>
        <v>0</v>
      </c>
      <c r="J252" s="253" t="str">
        <f>'[10]Resumen Elly Almánzar SEPT..20'!J32</f>
        <v>CAIPI en construcción trabaja en la terminación y limpieza</v>
      </c>
      <c r="K252" s="159" t="str">
        <f>'[10]Resumen Elly Almánzar SEPT..20'!K32</f>
        <v>19.456746, -70.535895</v>
      </c>
      <c r="L252" s="159" t="str">
        <f>'[10]Resumen Elly Almánzar SEPT..20'!L32</f>
        <v>1N</v>
      </c>
      <c r="M252" s="22" t="str">
        <f>'[10]Resumen Elly Almánzar SEPT..20'!M32</f>
        <v>Ing. Luis Santo</v>
      </c>
      <c r="N252" s="139" t="str">
        <f>'[10]Resumen Elly Almánzar SEPT..20'!N32</f>
        <v>(809)753-9408</v>
      </c>
      <c r="O252" s="139">
        <f>'[10]Resumen Elly Almánzar SEPT..20'!O32</f>
        <v>0</v>
      </c>
      <c r="P252" s="154" t="str">
        <f>'[10]Resumen Elly Almánzar SEPT..20'!P32</f>
        <v>2DO</v>
      </c>
      <c r="Q252" s="152">
        <f>'[10]Resumen Elly Almánzar SEPT..20'!Q32</f>
        <v>0.82</v>
      </c>
    </row>
    <row r="253" spans="1:25" s="7" customFormat="1" ht="47.25" x14ac:dyDescent="0.25">
      <c r="A253" s="190">
        <f t="shared" si="3"/>
        <v>242</v>
      </c>
      <c r="B253" s="300" t="s">
        <v>442</v>
      </c>
      <c r="C253" s="300" t="s">
        <v>464</v>
      </c>
      <c r="D253" s="300" t="s">
        <v>621</v>
      </c>
      <c r="E253" s="300" t="s">
        <v>144</v>
      </c>
      <c r="F253" s="290" t="s">
        <v>629</v>
      </c>
      <c r="G253" s="290" t="s">
        <v>675</v>
      </c>
      <c r="H253" s="295" t="str">
        <f>'[10]Resumen Elly Almánzar SEPT..20'!H33</f>
        <v>Sin Iniciar</v>
      </c>
      <c r="I253" s="296" t="str">
        <f>'[10]Resumen Elly Almánzar SEPT..20'!I33</f>
        <v xml:space="preserve">Con Propuesta </v>
      </c>
      <c r="J253" s="297">
        <f>'[10]Resumen Elly Almánzar SEPT..20'!J33</f>
        <v>0</v>
      </c>
      <c r="K253" s="188" t="str">
        <f>'[10]Resumen Elly Almánzar SEPT..20'!K33</f>
        <v>19.389552, -70.533163</v>
      </c>
      <c r="L253" s="288">
        <f>'[10]Resumen Elly Almánzar SEPT..20'!L33</f>
        <v>0</v>
      </c>
      <c r="M253" s="139" t="str">
        <f>'[10]Resumen Elly Almánzar SEPT..20'!M33</f>
        <v>Ilso Virgilio Felipe Felipe Amezquita</v>
      </c>
      <c r="N253" s="137">
        <f>'[10]Resumen Elly Almánzar SEPT..20'!N33</f>
        <v>0</v>
      </c>
      <c r="O253" s="295">
        <f>'[10]Resumen Elly Almánzar SEPT..20'!O33</f>
        <v>0</v>
      </c>
      <c r="P253" s="298" t="str">
        <f>'[10]Resumen Elly Almánzar SEPT..20'!P33</f>
        <v>2DO</v>
      </c>
      <c r="Q253" s="299">
        <f>'[10]Resumen Elly Almánzar SEPT..20'!Q33</f>
        <v>0</v>
      </c>
    </row>
    <row r="254" spans="1:25" s="7" customFormat="1" ht="111" customHeight="1" x14ac:dyDescent="0.25">
      <c r="A254" s="190">
        <f t="shared" si="3"/>
        <v>243</v>
      </c>
      <c r="B254" s="145" t="s">
        <v>442</v>
      </c>
      <c r="C254" s="145" t="s">
        <v>464</v>
      </c>
      <c r="D254" s="145" t="s">
        <v>503</v>
      </c>
      <c r="E254" s="145" t="s">
        <v>124</v>
      </c>
      <c r="F254" s="145" t="s">
        <v>503</v>
      </c>
      <c r="G254" s="145" t="s">
        <v>679</v>
      </c>
      <c r="H254" s="145" t="str">
        <f>'[10]Resumen Elly Almánzar SEPT..20'!H34</f>
        <v>Detenido pago cubicación</v>
      </c>
      <c r="I254" s="212">
        <f>'[10]Resumen Elly Almánzar SEPT..20'!I34</f>
        <v>0</v>
      </c>
      <c r="J254" s="252" t="str">
        <f>'[10]Resumen Elly Almánzar SEPT..20'!J34</f>
        <v>CAIPI detenido desde el 5 de Agosto por falta de pago de cubicación.</v>
      </c>
      <c r="K254" s="188" t="str">
        <f>'[10]Resumen Elly Almánzar SEPT..20'!K34</f>
        <v>19.634248, -70.281756</v>
      </c>
      <c r="L254" s="188" t="str">
        <f>'[10]Resumen Elly Almánzar SEPT..20'!L34</f>
        <v>2N</v>
      </c>
      <c r="M254" s="23" t="str">
        <f>'[10]Resumen Elly Almánzar SEPT..20'!M34</f>
        <v>José Ramón Cepín López</v>
      </c>
      <c r="N254" s="145" t="str">
        <f>'[10]Resumen Elly Almánzar SEPT..20'!N34</f>
        <v>(809)399-9090</v>
      </c>
      <c r="O254" s="145">
        <f>'[10]Resumen Elly Almánzar SEPT..20'!O34</f>
        <v>0</v>
      </c>
      <c r="P254" s="145" t="str">
        <f>'[10]Resumen Elly Almánzar SEPT..20'!P34</f>
        <v>2DO</v>
      </c>
      <c r="Q254" s="147">
        <f>'[10]Resumen Elly Almánzar SEPT..20'!Q34</f>
        <v>0.6</v>
      </c>
    </row>
    <row r="255" spans="1:25" s="7" customFormat="1" ht="47.25" x14ac:dyDescent="0.25">
      <c r="A255" s="190">
        <f t="shared" si="3"/>
        <v>244</v>
      </c>
      <c r="B255" s="145" t="s">
        <v>595</v>
      </c>
      <c r="C255" s="137" t="s">
        <v>504</v>
      </c>
      <c r="D255" s="137" t="s">
        <v>505</v>
      </c>
      <c r="E255" s="137" t="s">
        <v>124</v>
      </c>
      <c r="F255" s="137" t="s">
        <v>506</v>
      </c>
      <c r="G255" s="137" t="s">
        <v>507</v>
      </c>
      <c r="H255" s="137" t="str">
        <f>'[8]Matriz Mensual Nolis Jáquez Sep'!H11</f>
        <v>Inaugurado</v>
      </c>
      <c r="I255" s="213">
        <f>'[8]Matriz Mensual Nolis Jáquez Sep'!I11</f>
        <v>0</v>
      </c>
      <c r="J255" s="251">
        <f>'[8]Matriz Mensual Nolis Jáquez Sep'!J11</f>
        <v>0</v>
      </c>
      <c r="K255" s="195">
        <f>'[8]Matriz Mensual Nolis Jáquez Sep'!K11</f>
        <v>0</v>
      </c>
      <c r="L255" s="195" t="str">
        <f>'[8]Matriz Mensual Nolis Jáquez Sep'!L11</f>
        <v>1N</v>
      </c>
      <c r="M255" s="139" t="str">
        <f>'[8]Matriz Mensual Nolis Jáquez Sep'!M11</f>
        <v>Altagracia Severino Comprés</v>
      </c>
      <c r="N255" s="137">
        <f>'[8]Matriz Mensual Nolis Jáquez Sep'!N11</f>
        <v>0</v>
      </c>
      <c r="O255" s="137">
        <f>'[8]Matriz Mensual Nolis Jáquez Sep'!O11</f>
        <v>0</v>
      </c>
      <c r="P255" s="137" t="str">
        <f>'[8]Matriz Mensual Nolis Jáquez Sep'!P11</f>
        <v>1ER</v>
      </c>
      <c r="Q255" s="149">
        <f>'[8]Matriz Mensual Nolis Jáquez Sep'!Q11</f>
        <v>1</v>
      </c>
      <c r="Y255" s="159"/>
    </row>
    <row r="256" spans="1:25" s="7" customFormat="1" ht="243" customHeight="1" x14ac:dyDescent="0.25">
      <c r="A256" s="190">
        <f t="shared" si="3"/>
        <v>245</v>
      </c>
      <c r="B256" s="145" t="s">
        <v>595</v>
      </c>
      <c r="C256" s="145" t="s">
        <v>504</v>
      </c>
      <c r="D256" s="145" t="s">
        <v>505</v>
      </c>
      <c r="E256" s="145" t="s">
        <v>124</v>
      </c>
      <c r="F256" s="145" t="s">
        <v>505</v>
      </c>
      <c r="G256" s="145" t="s">
        <v>508</v>
      </c>
      <c r="H256" s="145" t="str">
        <f>'[8]Matriz Mensual Nolis Jáquez Sep'!H12</f>
        <v>Detenido</v>
      </c>
      <c r="I256" s="212">
        <f>'[8]Matriz Mensual Nolis Jáquez Sep'!I12</f>
        <v>0</v>
      </c>
      <c r="J256" s="252" t="str">
        <f>'[8]Matriz Mensual Nolis Jáquez Sep'!J12</f>
        <v xml:space="preserve">CAIPI detenido. La contratista tomó la decisión de paralizar desde inicio de agosto los trabajos por el contagio de 2 empleados de COVID 19, está planificando reiniciar a principio de octubre.  Antes de paralizar colocó block a los módulos de 3-4 y 4-5 a nivel de viga de piso y vació zapata del módulo de 2-3. Tiene cubicación pendiente desde finales de junio, aunque tiene dinero del avance, para trabajar. </v>
      </c>
      <c r="K256" s="188" t="str">
        <f>'[8]Matriz Mensual Nolis Jáquez Sep'!K12</f>
        <v xml:space="preserve"> 18.9306620, -70.3957940</v>
      </c>
      <c r="L256" s="188" t="str">
        <f>'[8]Matriz Mensual Nolis Jáquez Sep'!L12</f>
        <v>1N</v>
      </c>
      <c r="M256" s="23" t="str">
        <f>'[8]Matriz Mensual Nolis Jáquez Sep'!M12</f>
        <v>Carmen Margarita Medina Peña</v>
      </c>
      <c r="N256" s="145" t="str">
        <f>'[8]Matriz Mensual Nolis Jáquez Sep'!N12</f>
        <v>(809)504-6000</v>
      </c>
      <c r="O256" s="145" t="str">
        <f>'[8]Matriz Mensual Nolis Jáquez Sep'!O12</f>
        <v>ingmaggiemed@hotmail.com</v>
      </c>
      <c r="P256" s="145" t="str">
        <f>'[8]Matriz Mensual Nolis Jáquez Sep'!P12</f>
        <v>2DO</v>
      </c>
      <c r="Q256" s="147">
        <f>'[8]Matriz Mensual Nolis Jáquez Sep'!Q12</f>
        <v>0.1</v>
      </c>
      <c r="Y256" s="159"/>
    </row>
    <row r="257" spans="1:23" s="7" customFormat="1" ht="393.75" x14ac:dyDescent="0.25">
      <c r="A257" s="190">
        <f t="shared" si="3"/>
        <v>246</v>
      </c>
      <c r="B257" s="145" t="s">
        <v>595</v>
      </c>
      <c r="C257" s="137" t="s">
        <v>509</v>
      </c>
      <c r="D257" s="137" t="s">
        <v>509</v>
      </c>
      <c r="E257" s="137" t="s">
        <v>144</v>
      </c>
      <c r="F257" s="137" t="s">
        <v>510</v>
      </c>
      <c r="G257" s="137" t="s">
        <v>511</v>
      </c>
      <c r="H257" s="137" t="str">
        <f>'[8]Matriz Mensual Nolis Jáquez Sep'!H13</f>
        <v>Detenido</v>
      </c>
      <c r="I257" s="213">
        <f>'[8]Matriz Mensual Nolis Jáquez Sep'!I13</f>
        <v>0</v>
      </c>
      <c r="J257" s="251" t="str">
        <f>'[8]Matriz Mensual Nolis Jáquez Sep'!J13</f>
        <v xml:space="preserve">CAIPI detenido. Esta contratista había solicitado una revisión del movimiento de tierra, para eso fines le solicitaron hacer calicatas que no estuvo dispuesta a realizar y por tanto la OISOE y la MINERD exigía esta metodología para la comprobación de dicho reclamo de revisión del movimiento de tierra.  Antes de paralizarse, estaba en fase final (Con una mano de pintura de colores y el aérea de jardinería por realizar). Realizó trabajos de acera frontal y modificación acceso lateral, construcción del muro posterior y área exterior. La supervisión (OISOE) tiene pendiente la solución al filtrante y destino final del sistema hidráulico incluyendo la bomba sumergible de agua potable y las modificaciones en la cocina, de acuerdo con los requerimientos del INAIPI, </v>
      </c>
      <c r="K257" s="195" t="str">
        <f>'[8]Matriz Mensual Nolis Jáquez Sep'!K13</f>
        <v>18.8154573, -69.7778905</v>
      </c>
      <c r="L257" s="195" t="str">
        <f>'[8]Matriz Mensual Nolis Jáquez Sep'!L13</f>
        <v>1N</v>
      </c>
      <c r="M257" s="95" t="str">
        <f>'[8]Matriz Mensual Nolis Jáquez Sep'!M13</f>
        <v>Raquel Reyes Portorreal</v>
      </c>
      <c r="N257" s="137" t="str">
        <f>'[8]Matriz Mensual Nolis Jáquez Sep'!N13</f>
        <v>809-708-5455</v>
      </c>
      <c r="O257" s="137" t="str">
        <f>'[8]Matriz Mensual Nolis Jáquez Sep'!O13</f>
        <v>vivaraquelreyes@gmail.com</v>
      </c>
      <c r="P257" s="137" t="str">
        <f>'[8]Matriz Mensual Nolis Jáquez Sep'!P13</f>
        <v>1ER</v>
      </c>
      <c r="Q257" s="149">
        <f>'[8]Matriz Mensual Nolis Jáquez Sep'!Q13</f>
        <v>0.94</v>
      </c>
    </row>
    <row r="258" spans="1:23" s="7" customFormat="1" ht="173.25" x14ac:dyDescent="0.25">
      <c r="A258" s="190">
        <f t="shared" si="3"/>
        <v>247</v>
      </c>
      <c r="B258" s="145" t="s">
        <v>595</v>
      </c>
      <c r="C258" s="139" t="s">
        <v>509</v>
      </c>
      <c r="D258" s="139" t="s">
        <v>509</v>
      </c>
      <c r="E258" s="139" t="s">
        <v>144</v>
      </c>
      <c r="F258" s="139" t="s">
        <v>509</v>
      </c>
      <c r="G258" s="139" t="s">
        <v>512</v>
      </c>
      <c r="H258" s="139" t="str">
        <f>'[8]Matriz Mensual Nolis Jáquez Sep'!H14</f>
        <v>Detenido</v>
      </c>
      <c r="I258" s="209">
        <f>'[8]Matriz Mensual Nolis Jáquez Sep'!I14</f>
        <v>0</v>
      </c>
      <c r="J258" s="253" t="str">
        <f>'[8]Matriz Mensual Nolis Jáquez Sep'!J14</f>
        <v>CAIPI detenido sin justificación. Este socio del contratista detenido sin justificación a pesar que recibió pago de la cubicación antes de mayo 2020, sin embargo, decidió no reiniciar los trabajos primero por la pandemia, luego por las elecciones y finalmente ahora espera asignación de nueva administración gobierno.</v>
      </c>
      <c r="K258" s="159" t="str">
        <f>'[8]Matriz Mensual Nolis Jáquez Sep'!K14</f>
        <v>18.809001, -69.793589</v>
      </c>
      <c r="L258" s="159" t="str">
        <f>'[8]Matriz Mensual Nolis Jáquez Sep'!L14</f>
        <v>1N</v>
      </c>
      <c r="M258" s="29" t="str">
        <f>'[8]Matriz Mensual Nolis Jáquez Sep'!M14</f>
        <v>Juan Ramon Natera Sosa</v>
      </c>
      <c r="N258" s="139" t="str">
        <f>'[8]Matriz Mensual Nolis Jáquez Sep'!N14</f>
        <v>(809)258-0126</v>
      </c>
      <c r="O258" s="139" t="str">
        <f>'[8]Matriz Mensual Nolis Jáquez Sep'!O14</f>
        <v>arqjnatera@gmail.com</v>
      </c>
      <c r="P258" s="139" t="str">
        <f>'[8]Matriz Mensual Nolis Jáquez Sep'!P14</f>
        <v>2DO</v>
      </c>
      <c r="Q258" s="152">
        <f>'[8]Matriz Mensual Nolis Jáquez Sep'!Q14</f>
        <v>7.0000000000000007E-2</v>
      </c>
    </row>
    <row r="259" spans="1:23" s="7" customFormat="1" ht="47.25" x14ac:dyDescent="0.25">
      <c r="A259" s="190">
        <f t="shared" si="3"/>
        <v>248</v>
      </c>
      <c r="B259" s="290" t="s">
        <v>395</v>
      </c>
      <c r="C259" s="290" t="s">
        <v>422</v>
      </c>
      <c r="D259" s="290" t="s">
        <v>622</v>
      </c>
      <c r="E259" s="290" t="s">
        <v>144</v>
      </c>
      <c r="F259" s="290" t="s">
        <v>623</v>
      </c>
      <c r="G259" s="290" t="s">
        <v>623</v>
      </c>
      <c r="H259" s="139" t="str">
        <f>'[7]Resumen Anny Almanzar septi2020'!H36</f>
        <v>Sin Iniciar</v>
      </c>
      <c r="I259" s="139" t="str">
        <f>'[7]Resumen Anny Almanzar septi2020'!I36</f>
        <v xml:space="preserve">Con Propuesta </v>
      </c>
      <c r="J259" s="253">
        <f>'[7]Resumen Anny Almanzar septi2020'!J36</f>
        <v>0</v>
      </c>
      <c r="K259" s="159" t="str">
        <f>'[7]Resumen Anny Almanzar septi2020'!K36</f>
        <v>19.129734, -70.373202</v>
      </c>
      <c r="L259" s="159">
        <f>'[7]Resumen Anny Almanzar septi2020'!L36</f>
        <v>0</v>
      </c>
      <c r="M259" s="139" t="str">
        <f>'[7]Resumen Anny Almanzar septi2020'!M36</f>
        <v>Torres Ingenieria, SRL / Juan José Torres</v>
      </c>
      <c r="N259" s="139">
        <f>'[7]Resumen Anny Almanzar septi2020'!N36</f>
        <v>0</v>
      </c>
      <c r="O259" s="139">
        <f>'[7]Resumen Anny Almanzar septi2020'!O36</f>
        <v>0</v>
      </c>
      <c r="P259" s="139" t="str">
        <f>'[7]Resumen Anny Almanzar septi2020'!P36</f>
        <v>2DO</v>
      </c>
      <c r="Q259" s="152">
        <f>'[7]Resumen Anny Almanzar septi2020'!Q36</f>
        <v>0</v>
      </c>
    </row>
    <row r="260" spans="1:23" s="7" customFormat="1" ht="47.25" x14ac:dyDescent="0.25">
      <c r="A260" s="190">
        <f t="shared" si="3"/>
        <v>249</v>
      </c>
      <c r="B260" s="145" t="s">
        <v>595</v>
      </c>
      <c r="C260" s="137" t="s">
        <v>509</v>
      </c>
      <c r="D260" s="139" t="s">
        <v>513</v>
      </c>
      <c r="E260" s="139" t="s">
        <v>144</v>
      </c>
      <c r="F260" s="139" t="s">
        <v>513</v>
      </c>
      <c r="G260" s="139" t="s">
        <v>678</v>
      </c>
      <c r="H260" s="139" t="str">
        <f>'[8]Matriz Mensual Nolis Jáquez Sep'!H15</f>
        <v>Inaugurado</v>
      </c>
      <c r="I260" s="263">
        <f>'[8]Matriz Mensual Nolis Jáquez Sep'!I15</f>
        <v>0</v>
      </c>
      <c r="J260" s="264" t="str">
        <f>'[8]Matriz Mensual Nolis Jáquez Sep'!J15</f>
        <v>Inaugurado el dia 9 de julio 2019</v>
      </c>
      <c r="K260" s="159" t="str">
        <f>'[8]Matriz Mensual Nolis Jáquez Sep'!K15</f>
        <v>18.754391, -69.628817</v>
      </c>
      <c r="L260" s="159" t="str">
        <f>'[8]Matriz Mensual Nolis Jáquez Sep'!L15</f>
        <v>1N</v>
      </c>
      <c r="M260" s="22" t="str">
        <f>'[8]Matriz Mensual Nolis Jáquez Sep'!M15</f>
        <v>Yudelka A. Trinidad G./Juan T. Rodriguez F.</v>
      </c>
      <c r="N260" s="139">
        <f>'[8]Matriz Mensual Nolis Jáquez Sep'!N15</f>
        <v>0</v>
      </c>
      <c r="O260" s="139" t="str">
        <f>'[8]Matriz Mensual Nolis Jáquez Sep'!O15</f>
        <v>constructorarocasa@hotmail.com</v>
      </c>
      <c r="P260" s="139" t="str">
        <f>'[8]Matriz Mensual Nolis Jáquez Sep'!P15</f>
        <v>2DO</v>
      </c>
      <c r="Q260" s="152">
        <f>'[8]Matriz Mensual Nolis Jáquez Sep'!Q15</f>
        <v>1</v>
      </c>
    </row>
    <row r="261" spans="1:23" s="7" customFormat="1" ht="31.5" x14ac:dyDescent="0.25">
      <c r="A261" s="190">
        <f t="shared" si="3"/>
        <v>250</v>
      </c>
      <c r="B261" s="145" t="s">
        <v>595</v>
      </c>
      <c r="C261" s="139" t="s">
        <v>509</v>
      </c>
      <c r="D261" s="139" t="s">
        <v>514</v>
      </c>
      <c r="E261" s="139" t="s">
        <v>144</v>
      </c>
      <c r="F261" s="139" t="s">
        <v>515</v>
      </c>
      <c r="G261" s="139" t="s">
        <v>676</v>
      </c>
      <c r="H261" s="95" t="s">
        <v>14</v>
      </c>
      <c r="I261" s="95" t="s">
        <v>1</v>
      </c>
      <c r="J261" s="346"/>
      <c r="K261" s="347"/>
      <c r="L261" s="95">
        <v>0</v>
      </c>
      <c r="M261" s="346" t="s">
        <v>734</v>
      </c>
      <c r="N261" s="95"/>
      <c r="O261" s="95"/>
      <c r="P261" s="346" t="s">
        <v>735</v>
      </c>
      <c r="Q261" s="348">
        <v>0</v>
      </c>
      <c r="W261" s="139" t="s">
        <v>2</v>
      </c>
    </row>
    <row r="262" spans="1:23" s="7" customFormat="1" ht="217.5" customHeight="1" x14ac:dyDescent="0.25">
      <c r="A262" s="190">
        <f t="shared" si="3"/>
        <v>251</v>
      </c>
      <c r="B262" s="145" t="s">
        <v>595</v>
      </c>
      <c r="C262" s="145" t="s">
        <v>509</v>
      </c>
      <c r="D262" s="145" t="s">
        <v>516</v>
      </c>
      <c r="E262" s="145" t="s">
        <v>144</v>
      </c>
      <c r="F262" s="145" t="s">
        <v>516</v>
      </c>
      <c r="G262" s="145" t="s">
        <v>677</v>
      </c>
      <c r="H262" s="145" t="str">
        <f>'[8]Matriz Mensual Nolis Jáquez Sep'!H17</f>
        <v>Detenido</v>
      </c>
      <c r="I262" s="212">
        <f>'[8]Matriz Mensual Nolis Jáquez Sep'!I17</f>
        <v>0</v>
      </c>
      <c r="J262" s="252" t="str">
        <f>'[8]Matriz Mensual Nolis Jáquez Sep'!J17</f>
        <v>CAIPI detenido. Está contratista no tiene cubicacion pendiente y dice no tener recurso para continuar los trabajos., ha solicitado revisón de cubicación, antes de paralizarse colocó tejas en el edificio, vacio losa de la caseta de bomba y la garita del seguridad,  colocó los pisos de fondo gris y pañetó muro de verja.  Esta pendiente diseñar la escalera de srvicio de acceso a la azotea.</v>
      </c>
      <c r="K262" s="188" t="str">
        <f>'[8]Matriz Mensual Nolis Jáquez Sep'!K17</f>
        <v>18.7676620,-70.0237730</v>
      </c>
      <c r="L262" s="188" t="str">
        <f>'[8]Matriz Mensual Nolis Jáquez Sep'!L17</f>
        <v>2N</v>
      </c>
      <c r="M262" s="23" t="str">
        <f>'[8]Matriz Mensual Nolis Jáquez Sep'!M17</f>
        <v>Nellely Martinez Castro</v>
      </c>
      <c r="N262" s="145" t="str">
        <f>'[8]Matriz Mensual Nolis Jáquez Sep'!N17</f>
        <v>(809)848-8496</v>
      </c>
      <c r="O262" s="145" t="str">
        <f>'[8]Matriz Mensual Nolis Jáquez Sep'!O17</f>
        <v>nelle192@hotmail.com</v>
      </c>
      <c r="P262" s="145" t="str">
        <f>'[8]Matriz Mensual Nolis Jáquez Sep'!P17</f>
        <v>2DO</v>
      </c>
      <c r="Q262" s="147">
        <f>'[8]Matriz Mensual Nolis Jáquez Sep'!Q17</f>
        <v>0.71</v>
      </c>
    </row>
    <row r="263" spans="1:23" ht="15" x14ac:dyDescent="0.25">
      <c r="C263"/>
      <c r="D263"/>
      <c r="E263"/>
      <c r="F263"/>
      <c r="G263"/>
      <c r="H263"/>
      <c r="I263"/>
      <c r="J263" s="262"/>
      <c r="K263"/>
      <c r="L263"/>
      <c r="M263" s="305"/>
      <c r="N263"/>
      <c r="O263"/>
      <c r="P263"/>
      <c r="Q263" s="272"/>
    </row>
  </sheetData>
  <autoFilter ref="A11:W262" xr:uid="{00000000-0009-0000-0000-000006000000}"/>
  <dataConsolidate/>
  <mergeCells count="6">
    <mergeCell ref="W11:Y11"/>
    <mergeCell ref="D8:E8"/>
    <mergeCell ref="F9:K9"/>
    <mergeCell ref="F8:J8"/>
    <mergeCell ref="E2:M3"/>
    <mergeCell ref="D5:M7"/>
  </mergeCells>
  <conditionalFormatting sqref="G30:M30">
    <cfRule type="cellIs" dxfId="92" priority="12" operator="between">
      <formula>0.25</formula>
      <formula>0.5</formula>
    </cfRule>
  </conditionalFormatting>
  <conditionalFormatting sqref="I12:I15">
    <cfRule type="cellIs" dxfId="91" priority="203" operator="between">
      <formula>0.25</formula>
      <formula>0.5</formula>
    </cfRule>
  </conditionalFormatting>
  <conditionalFormatting sqref="I17:I29">
    <cfRule type="cellIs" dxfId="90" priority="209" operator="between">
      <formula>0.25</formula>
      <formula>0.5</formula>
    </cfRule>
  </conditionalFormatting>
  <conditionalFormatting sqref="I31:I48">
    <cfRule type="cellIs" dxfId="89" priority="217" operator="between">
      <formula>0.25</formula>
      <formula>0.5</formula>
    </cfRule>
  </conditionalFormatting>
  <conditionalFormatting sqref="I58">
    <cfRule type="cellIs" dxfId="88" priority="240" operator="between">
      <formula>0.25</formula>
      <formula>0.5</formula>
    </cfRule>
  </conditionalFormatting>
  <conditionalFormatting sqref="I63:I82 M81:M82">
    <cfRule type="cellIs" dxfId="87" priority="112" operator="between">
      <formula>0.25</formula>
      <formula>0.5</formula>
    </cfRule>
  </conditionalFormatting>
  <conditionalFormatting sqref="I101:I113">
    <cfRule type="cellIs" dxfId="86" priority="257" operator="between">
      <formula>0.25</formula>
      <formula>0.5</formula>
    </cfRule>
  </conditionalFormatting>
  <conditionalFormatting sqref="I121:I129">
    <cfRule type="cellIs" dxfId="85" priority="30" operator="between">
      <formula>0.25</formula>
      <formula>0.5</formula>
    </cfRule>
  </conditionalFormatting>
  <conditionalFormatting sqref="I150:I152">
    <cfRule type="cellIs" dxfId="84" priority="270" operator="between">
      <formula>0.25</formula>
      <formula>0.5</formula>
    </cfRule>
  </conditionalFormatting>
  <conditionalFormatting sqref="I154:I155">
    <cfRule type="cellIs" dxfId="83" priority="272" operator="between">
      <formula>0.25</formula>
      <formula>0.5</formula>
    </cfRule>
  </conditionalFormatting>
  <conditionalFormatting sqref="I157:I174">
    <cfRule type="cellIs" dxfId="82" priority="277" operator="between">
      <formula>0.25</formula>
      <formula>0.5</formula>
    </cfRule>
  </conditionalFormatting>
  <conditionalFormatting sqref="I177:I181">
    <cfRule type="cellIs" dxfId="81" priority="92" operator="between">
      <formula>0.25</formula>
      <formula>0.5</formula>
    </cfRule>
  </conditionalFormatting>
  <conditionalFormatting sqref="I183">
    <cfRule type="cellIs" dxfId="80" priority="90" operator="between">
      <formula>0.25</formula>
      <formula>0.5</formula>
    </cfRule>
  </conditionalFormatting>
  <conditionalFormatting sqref="I187:I198">
    <cfRule type="cellIs" dxfId="79" priority="42" operator="between">
      <formula>0.25</formula>
      <formula>0.5</formula>
    </cfRule>
  </conditionalFormatting>
  <conditionalFormatting sqref="I200">
    <cfRule type="cellIs" dxfId="78" priority="82" operator="between">
      <formula>0.25</formula>
      <formula>0.5</formula>
    </cfRule>
  </conditionalFormatting>
  <conditionalFormatting sqref="I202:I205">
    <cfRule type="cellIs" dxfId="77" priority="80" operator="between">
      <formula>0.25</formula>
      <formula>0.5</formula>
    </cfRule>
  </conditionalFormatting>
  <conditionalFormatting sqref="I211:I215">
    <cfRule type="cellIs" dxfId="76" priority="336" operator="between">
      <formula>0.25</formula>
      <formula>0.5</formula>
    </cfRule>
  </conditionalFormatting>
  <conditionalFormatting sqref="I217:I226">
    <cfRule type="cellIs" dxfId="75" priority="328" operator="between">
      <formula>0.25</formula>
      <formula>0.5</formula>
    </cfRule>
  </conditionalFormatting>
  <conditionalFormatting sqref="I249:I253">
    <cfRule type="cellIs" dxfId="74" priority="296" operator="between">
      <formula>0.25</formula>
      <formula>0.5</formula>
    </cfRule>
  </conditionalFormatting>
  <conditionalFormatting sqref="I255:I258">
    <cfRule type="cellIs" dxfId="73" priority="295" operator="between">
      <formula>0.25</formula>
      <formula>0.5</formula>
    </cfRule>
  </conditionalFormatting>
  <conditionalFormatting sqref="I115:J118">
    <cfRule type="cellIs" dxfId="72" priority="261" operator="between">
      <formula>0.25</formula>
      <formula>0.5</formula>
    </cfRule>
  </conditionalFormatting>
  <conditionalFormatting sqref="I243:J243">
    <cfRule type="cellIs" dxfId="71" priority="325" operator="between">
      <formula>0.25</formula>
      <formula>0.5</formula>
    </cfRule>
  </conditionalFormatting>
  <conditionalFormatting sqref="I60:K61">
    <cfRule type="cellIs" dxfId="70" priority="241" operator="between">
      <formula>0.25</formula>
      <formula>0.5</formula>
    </cfRule>
  </conditionalFormatting>
  <conditionalFormatting sqref="I85:K90 M86:M90">
    <cfRule type="cellIs" dxfId="69" priority="253" operator="between">
      <formula>0.25</formula>
      <formula>0.5</formula>
    </cfRule>
  </conditionalFormatting>
  <conditionalFormatting sqref="I253:K253">
    <cfRule type="cellIs" dxfId="68" priority="11" operator="between">
      <formula>0.25</formula>
      <formula>0.5</formula>
    </cfRule>
  </conditionalFormatting>
  <conditionalFormatting sqref="I31:L33 I34:K37 I38:L59 I63:K70 I66:L66 I74:K80 I82:K82 J84:L84 J91:L91 K92:M99 I93:L94 J95:L99 I96:L99 L100 J100:K107 L102:L107 J108:L109 K110:L120 I116:L116 I121:K128 J133:L136 K139:L149 I150:L153 I154:J154 L154 I155:L174 I175:J176 L175:L176 I177:L177 J178:L179 L187:L188 J189:L189 I190:L190 L191 J192:L192 I193:L194 J195:L196 I197:L197 I198:J198 L198:L200 L202 I203:L204 I209:L225 I226:J226 L226 I233:L252 I254:L258">
    <cfRule type="cellIs" dxfId="67" priority="453" operator="between">
      <formula>0.25</formula>
      <formula>0.5</formula>
    </cfRule>
  </conditionalFormatting>
  <conditionalFormatting sqref="I131:L132">
    <cfRule type="cellIs" dxfId="66" priority="266" operator="between">
      <formula>0.25</formula>
      <formula>0.5</formula>
    </cfRule>
  </conditionalFormatting>
  <conditionalFormatting sqref="I137:L137 L139:L140">
    <cfRule type="cellIs" dxfId="65" priority="187" operator="between">
      <formula>0.25</formula>
      <formula>0.5</formula>
    </cfRule>
  </conditionalFormatting>
  <conditionalFormatting sqref="I185:L185">
    <cfRule type="cellIs" dxfId="64" priority="306" operator="between">
      <formula>0.25</formula>
      <formula>0.5</formula>
    </cfRule>
  </conditionalFormatting>
  <conditionalFormatting sqref="I260:L260">
    <cfRule type="cellIs" dxfId="63" priority="25" operator="between">
      <formula>0.25</formula>
      <formula>0.5</formula>
    </cfRule>
  </conditionalFormatting>
  <conditionalFormatting sqref="I262:L262">
    <cfRule type="cellIs" dxfId="62" priority="289" operator="between">
      <formula>0.25</formula>
      <formula>0.5</formula>
    </cfRule>
  </conditionalFormatting>
  <conditionalFormatting sqref="I21:Q29">
    <cfRule type="cellIs" dxfId="61" priority="165" operator="between">
      <formula>0.25</formula>
      <formula>0.5</formula>
    </cfRule>
  </conditionalFormatting>
  <conditionalFormatting sqref="J31:J47">
    <cfRule type="cellIs" dxfId="60" priority="144" operator="between">
      <formula>0.25</formula>
      <formula>0.5</formula>
    </cfRule>
  </conditionalFormatting>
  <conditionalFormatting sqref="J58:J63">
    <cfRule type="cellIs" dxfId="59" priority="116" operator="between">
      <formula>0.25</formula>
      <formula>0.5</formula>
    </cfRule>
  </conditionalFormatting>
  <conditionalFormatting sqref="J65:J67">
    <cfRule type="cellIs" dxfId="58" priority="132" operator="between">
      <formula>0.25</formula>
      <formula>0.5</formula>
    </cfRule>
  </conditionalFormatting>
  <conditionalFormatting sqref="J94">
    <cfRule type="cellIs" dxfId="57" priority="242" operator="between">
      <formula>0.25</formula>
      <formula>0.5</formula>
    </cfRule>
  </conditionalFormatting>
  <conditionalFormatting sqref="J110:J117">
    <cfRule type="cellIs" dxfId="56" priority="427" operator="between">
      <formula>0.25</formula>
      <formula>0.5</formula>
    </cfRule>
  </conditionalFormatting>
  <conditionalFormatting sqref="J121:J123">
    <cfRule type="cellIs" dxfId="55" priority="438" operator="between">
      <formula>0.25</formula>
      <formula>0.5</formula>
    </cfRule>
  </conditionalFormatting>
  <conditionalFormatting sqref="J125:J128">
    <cfRule type="cellIs" dxfId="54" priority="168" operator="between">
      <formula>0.25</formula>
      <formula>0.5</formula>
    </cfRule>
  </conditionalFormatting>
  <conditionalFormatting sqref="J131:J137">
    <cfRule type="cellIs" dxfId="53" priority="422" operator="between">
      <formula>0.25</formula>
      <formula>0.5</formula>
    </cfRule>
  </conditionalFormatting>
  <conditionalFormatting sqref="J150:J156">
    <cfRule type="cellIs" dxfId="52" priority="181" operator="between">
      <formula>0.25</formula>
      <formula>0.5</formula>
    </cfRule>
  </conditionalFormatting>
  <conditionalFormatting sqref="J159:J164">
    <cfRule type="cellIs" dxfId="51" priority="179" operator="between">
      <formula>0.25</formula>
      <formula>0.5</formula>
    </cfRule>
  </conditionalFormatting>
  <conditionalFormatting sqref="J166">
    <cfRule type="cellIs" dxfId="50" priority="273" operator="between">
      <formula>0.25</formula>
      <formula>0.5</formula>
    </cfRule>
  </conditionalFormatting>
  <conditionalFormatting sqref="J170:J171 J174">
    <cfRule type="cellIs" dxfId="49" priority="280" operator="between">
      <formula>0.25</formula>
      <formula>0.5</formula>
    </cfRule>
  </conditionalFormatting>
  <conditionalFormatting sqref="J177:J180">
    <cfRule type="cellIs" dxfId="48" priority="62" operator="between">
      <formula>0.25</formula>
      <formula>0.5</formula>
    </cfRule>
  </conditionalFormatting>
  <conditionalFormatting sqref="J184:J186">
    <cfRule type="cellIs" dxfId="47" priority="405" operator="between">
      <formula>0.25</formula>
      <formula>0.5</formula>
    </cfRule>
  </conditionalFormatting>
  <conditionalFormatting sqref="J222">
    <cfRule type="cellIs" dxfId="46" priority="320" operator="between">
      <formula>0.25</formula>
      <formula>0.5</formula>
    </cfRule>
  </conditionalFormatting>
  <conditionalFormatting sqref="J225:J226">
    <cfRule type="cellIs" dxfId="45" priority="327" operator="between">
      <formula>0.25</formula>
      <formula>0.5</formula>
    </cfRule>
  </conditionalFormatting>
  <conditionalFormatting sqref="J233">
    <cfRule type="cellIs" dxfId="44" priority="349" operator="between">
      <formula>0.25</formula>
      <formula>0.5</formula>
    </cfRule>
  </conditionalFormatting>
  <conditionalFormatting sqref="J241">
    <cfRule type="cellIs" dxfId="43" priority="326" operator="between">
      <formula>0.25</formula>
      <formula>0.5</formula>
    </cfRule>
  </conditionalFormatting>
  <conditionalFormatting sqref="J192:K199">
    <cfRule type="cellIs" dxfId="42" priority="7" operator="between">
      <formula>0.25</formula>
      <formula>0.5</formula>
    </cfRule>
  </conditionalFormatting>
  <conditionalFormatting sqref="J215:K215">
    <cfRule type="cellIs" dxfId="41" priority="318" operator="between">
      <formula>0.25</formula>
      <formula>0.5</formula>
    </cfRule>
  </conditionalFormatting>
  <conditionalFormatting sqref="J217:K217">
    <cfRule type="cellIs" dxfId="40" priority="317" operator="between">
      <formula>0.25</formula>
      <formula>0.5</formula>
    </cfRule>
  </conditionalFormatting>
  <conditionalFormatting sqref="J220:K220">
    <cfRule type="cellIs" dxfId="39" priority="319" operator="between">
      <formula>0.25</formula>
      <formula>0.5</formula>
    </cfRule>
  </conditionalFormatting>
  <conditionalFormatting sqref="J248:K251">
    <cfRule type="cellIs" dxfId="38" priority="292" operator="between">
      <formula>0.25</formula>
      <formula>0.5</formula>
    </cfRule>
  </conditionalFormatting>
  <conditionalFormatting sqref="J255:K255">
    <cfRule type="cellIs" dxfId="37" priority="290" operator="between">
      <formula>0.25</formula>
      <formula>0.5</formula>
    </cfRule>
  </conditionalFormatting>
  <conditionalFormatting sqref="J186:L186 J189:K190">
    <cfRule type="cellIs" dxfId="36" priority="170" operator="between">
      <formula>0.25</formula>
      <formula>0.5</formula>
    </cfRule>
  </conditionalFormatting>
  <conditionalFormatting sqref="J201:L201">
    <cfRule type="cellIs" dxfId="35" priority="171" operator="between">
      <formula>0.25</formula>
      <formula>0.5</formula>
    </cfRule>
  </conditionalFormatting>
  <conditionalFormatting sqref="J205:L205">
    <cfRule type="cellIs" dxfId="34" priority="313" operator="between">
      <formula>0.25</formula>
      <formula>0.5</formula>
    </cfRule>
  </conditionalFormatting>
  <conditionalFormatting sqref="J259:L259">
    <cfRule type="cellIs" dxfId="33" priority="283" operator="between">
      <formula>0.25</formula>
      <formula>0.5</formula>
    </cfRule>
  </conditionalFormatting>
  <conditionalFormatting sqref="K45:K46">
    <cfRule type="cellIs" dxfId="32" priority="227" operator="between">
      <formula>0.25</formula>
      <formula>0.5</formula>
    </cfRule>
  </conditionalFormatting>
  <conditionalFormatting sqref="K61:K62">
    <cfRule type="cellIs" dxfId="31" priority="118" operator="between">
      <formula>0.25</formula>
      <formula>0.5</formula>
    </cfRule>
  </conditionalFormatting>
  <conditionalFormatting sqref="K71:K73 L207:L209">
    <cfRule type="cellIs" dxfId="30" priority="331" operator="between">
      <formula>0.25</formula>
      <formula>0.5</formula>
    </cfRule>
  </conditionalFormatting>
  <conditionalFormatting sqref="K127">
    <cfRule type="cellIs" dxfId="29" priority="192" operator="between">
      <formula>0.25</formula>
      <formula>0.5</formula>
    </cfRule>
  </conditionalFormatting>
  <conditionalFormatting sqref="K139">
    <cfRule type="cellIs" dxfId="28" priority="186" operator="between">
      <formula>0.25</formula>
      <formula>0.5</formula>
    </cfRule>
  </conditionalFormatting>
  <conditionalFormatting sqref="K151">
    <cfRule type="cellIs" dxfId="27" priority="183" operator="between">
      <formula>0.25</formula>
      <formula>0.5</formula>
    </cfRule>
  </conditionalFormatting>
  <conditionalFormatting sqref="K153:K154">
    <cfRule type="cellIs" dxfId="26" priority="1" operator="between">
      <formula>0.25</formula>
      <formula>0.5</formula>
    </cfRule>
  </conditionalFormatting>
  <conditionalFormatting sqref="K160">
    <cfRule type="cellIs" dxfId="25" priority="276" operator="between">
      <formula>0.25</formula>
      <formula>0.5</formula>
    </cfRule>
  </conditionalFormatting>
  <conditionalFormatting sqref="K163">
    <cfRule type="cellIs" dxfId="24" priority="275" operator="between">
      <formula>0.25</formula>
      <formula>0.5</formula>
    </cfRule>
  </conditionalFormatting>
  <conditionalFormatting sqref="K175:K180">
    <cfRule type="cellIs" dxfId="23" priority="3" operator="between">
      <formula>0.25</formula>
      <formula>0.5</formula>
    </cfRule>
  </conditionalFormatting>
  <conditionalFormatting sqref="K184">
    <cfRule type="cellIs" dxfId="22" priority="106" operator="between">
      <formula>0.25</formula>
      <formula>0.5</formula>
    </cfRule>
  </conditionalFormatting>
  <conditionalFormatting sqref="K222:K223">
    <cfRule type="cellIs" dxfId="21" priority="316" operator="between">
      <formula>0.25</formula>
      <formula>0.5</formula>
    </cfRule>
  </conditionalFormatting>
  <conditionalFormatting sqref="K225">
    <cfRule type="cellIs" dxfId="20" priority="323" operator="between">
      <formula>0.25</formula>
      <formula>0.5</formula>
    </cfRule>
  </conditionalFormatting>
  <conditionalFormatting sqref="K234:K235">
    <cfRule type="cellIs" dxfId="19" priority="175" operator="between">
      <formula>0.25</formula>
      <formula>0.5</formula>
    </cfRule>
  </conditionalFormatting>
  <conditionalFormatting sqref="K241:K243">
    <cfRule type="cellIs" dxfId="18" priority="324" operator="between">
      <formula>0.25</formula>
      <formula>0.5</formula>
    </cfRule>
  </conditionalFormatting>
  <conditionalFormatting sqref="K39:L39">
    <cfRule type="cellIs" dxfId="17" priority="219" operator="between">
      <formula>0.25</formula>
      <formula>0.5</formula>
    </cfRule>
  </conditionalFormatting>
  <conditionalFormatting sqref="K257:L259">
    <cfRule type="cellIs" dxfId="16" priority="285" operator="between">
      <formula>0.25</formula>
      <formula>0.5</formula>
    </cfRule>
  </conditionalFormatting>
  <conditionalFormatting sqref="L30:L37">
    <cfRule type="cellIs" dxfId="15" priority="212" operator="between">
      <formula>0.25</formula>
      <formula>0.5</formula>
    </cfRule>
  </conditionalFormatting>
  <conditionalFormatting sqref="L41:L46">
    <cfRule type="cellIs" dxfId="14" priority="223" operator="between">
      <formula>0.25</formula>
      <formula>0.5</formula>
    </cfRule>
  </conditionalFormatting>
  <conditionalFormatting sqref="L180:L184">
    <cfRule type="cellIs" dxfId="13" priority="58" operator="between">
      <formula>0.25</formula>
      <formula>0.5</formula>
    </cfRule>
  </conditionalFormatting>
  <conditionalFormatting sqref="L253:L255">
    <cfRule type="cellIs" dxfId="12" priority="173" operator="between">
      <formula>0.25</formula>
      <formula>0.5</formula>
    </cfRule>
  </conditionalFormatting>
  <conditionalFormatting sqref="M32:M34 M36">
    <cfRule type="cellIs" dxfId="11" priority="17" operator="between">
      <formula>0.25</formula>
      <formula>0.5</formula>
    </cfRule>
  </conditionalFormatting>
  <conditionalFormatting sqref="M42:M43">
    <cfRule type="cellIs" dxfId="10" priority="15" operator="between">
      <formula>0.25</formula>
      <formula>0.5</formula>
    </cfRule>
  </conditionalFormatting>
  <conditionalFormatting sqref="M61">
    <cfRule type="cellIs" dxfId="9" priority="245" operator="between">
      <formula>0.25</formula>
      <formula>0.5</formula>
    </cfRule>
  </conditionalFormatting>
  <conditionalFormatting sqref="M63:M67">
    <cfRule type="cellIs" dxfId="8" priority="246" operator="between">
      <formula>0.25</formula>
      <formula>0.5</formula>
    </cfRule>
  </conditionalFormatting>
  <conditionalFormatting sqref="M69:M79">
    <cfRule type="cellIs" dxfId="7" priority="249" operator="between">
      <formula>0.25</formula>
      <formula>0.5</formula>
    </cfRule>
  </conditionalFormatting>
  <conditionalFormatting sqref="M146">
    <cfRule type="cellIs" dxfId="6" priority="70" operator="between">
      <formula>0.25</formula>
      <formula>0.5</formula>
    </cfRule>
  </conditionalFormatting>
  <conditionalFormatting sqref="M174">
    <cfRule type="cellIs" dxfId="5" priority="14" operator="between">
      <formula>0.25</formula>
      <formula>0.5</formula>
    </cfRule>
  </conditionalFormatting>
  <conditionalFormatting sqref="M233">
    <cfRule type="cellIs" dxfId="4" priority="36" operator="between">
      <formula>0.25</formula>
      <formula>0.5</formula>
    </cfRule>
  </conditionalFormatting>
  <conditionalFormatting sqref="M248">
    <cfRule type="cellIs" dxfId="3" priority="102" operator="between">
      <formula>0.25</formula>
      <formula>0.5</formula>
    </cfRule>
  </conditionalFormatting>
  <conditionalFormatting sqref="Y178">
    <cfRule type="cellIs" dxfId="2" priority="94" operator="between">
      <formula>0.25</formula>
      <formula>0.5</formula>
    </cfRule>
  </conditionalFormatting>
  <conditionalFormatting sqref="Y255:Y256">
    <cfRule type="cellIs" dxfId="1" priority="78" operator="between">
      <formula>0.25</formula>
      <formula>0.5</formula>
    </cfRule>
  </conditionalFormatting>
  <dataValidations count="1">
    <dataValidation type="list" allowBlank="1" showInputMessage="1" showErrorMessage="1" sqref="J256 J94 J27:J28 J66 J158 J116 J46:J59 H12:H262 Q92:Q99 P197:P201 P262 P248:P260 P234:P246 P230:P232 P203:P207 P27:P28 P139:P195 P93:P137 P30:P91 P209:P212 P214:P228 I203:I204 I224:I226 I121:I129 I210 I113 I88:I90 I233 I241:I243 I255:I259 I76:I80 I212:I221 I71:I73 M63:M67 I101:I111 I131:I132 M88:M90 M69 M76:M79 M71:M73 M61 M86 I12:I15 I237:I239 I93:I94 I17:I29 I63:I69 I96:J99 I150:I177 I115:I118 I31:I61 I84:I86 I262" xr:uid="{00000000-0002-0000-0600-000001000000}">
      <formula1>#REF!</formula1>
    </dataValidation>
  </dataValidations>
  <hyperlinks>
    <hyperlink ref="O133" r:id="rId1" display="rbello54@hotmail.com" xr:uid="{00000000-0004-0000-0600-000000000000}"/>
    <hyperlink ref="O137" r:id="rId2" display="td.rubio@gmail.com" xr:uid="{00000000-0004-0000-0600-000001000000}"/>
    <hyperlink ref="O134" r:id="rId3" display="leunam22244@hotmail.com" xr:uid="{00000000-0004-0000-0600-000002000000}"/>
    <hyperlink ref="O135" r:id="rId4" display="ingsidohawli@gmail.com" xr:uid="{00000000-0004-0000-0600-000003000000}"/>
    <hyperlink ref="O136" r:id="rId5" display="ing.perezramirez@hotmail.com" xr:uid="{00000000-0004-0000-0600-000004000000}"/>
    <hyperlink ref="O95" r:id="rId6" display="fannyguerrero26@hotmail.com" xr:uid="{00000000-0004-0000-0600-000005000000}"/>
    <hyperlink ref="O237" r:id="rId7" display="arq.jesusnunez@gmail.com" xr:uid="{00000000-0004-0000-0600-000006000000}"/>
    <hyperlink ref="O141" r:id="rId8" display="gpfgroup23@gmail.com" xr:uid="{00000000-0004-0000-0600-000007000000}"/>
    <hyperlink ref="O140" r:id="rId9" display="zajorycodia@yahoo.es" xr:uid="{00000000-0004-0000-0600-000008000000}"/>
    <hyperlink ref="O142" r:id="rId10" display="fybserviceingenieria@hotmail.com" xr:uid="{00000000-0004-0000-0600-000009000000}"/>
    <hyperlink ref="O143" r:id="rId11" display="rosasuper2001@hotmail.com" xr:uid="{00000000-0004-0000-0600-00000A000000}"/>
    <hyperlink ref="O144" r:id="rId12" display="amarilisvaleyron@gmail.com" xr:uid="{00000000-0004-0000-0600-00000B000000}"/>
    <hyperlink ref="O147" r:id="rId13" display="oroga@hotmail.com" xr:uid="{00000000-0004-0000-0600-00000C000000}"/>
    <hyperlink ref="O148" r:id="rId14" display="jacintofernandezmatos@gmail.com" xr:uid="{00000000-0004-0000-0600-00000D000000}"/>
    <hyperlink ref="O149" r:id="rId15" display="biohit@claro.net.do" xr:uid="{00000000-0004-0000-0600-00000E000000}"/>
    <hyperlink ref="O184" r:id="rId16" display="jonatanpaula3@gmail.com" xr:uid="{00000000-0004-0000-0600-00000F000000}"/>
    <hyperlink ref="O183" r:id="rId17" display="arq.juancarlosdiaz@gmail.com" xr:uid="{00000000-0004-0000-0600-000010000000}"/>
    <hyperlink ref="O182" r:id="rId18" display="ing.mizsantos@hotmail.com" xr:uid="{00000000-0004-0000-0600-000011000000}"/>
    <hyperlink ref="O181" r:id="rId19" display="elcastorconstruye@hotmail.com" xr:uid="{00000000-0004-0000-0600-000012000000}"/>
    <hyperlink ref="O186" r:id="rId20" display="arq.elio@hotmail.com" xr:uid="{00000000-0004-0000-0600-000013000000}"/>
    <hyperlink ref="O187" r:id="rId21" display="lirianox@gmail.com" xr:uid="{00000000-0004-0000-0600-000014000000}"/>
    <hyperlink ref="O188" r:id="rId22" display="yajahydis13@hotmail.com" xr:uid="{00000000-0004-0000-0600-000015000000}"/>
    <hyperlink ref="O195" r:id="rId23" display="nestor_almonte@hotmail.com" xr:uid="{00000000-0004-0000-0600-000016000000}"/>
    <hyperlink ref="O196" r:id="rId24" display="anthonycolon01@hotmail.com" xr:uid="{00000000-0004-0000-0600-000017000000}"/>
    <hyperlink ref="O199" r:id="rId25" display="disconart.dca@gmail.com" xr:uid="{00000000-0004-0000-0600-000018000000}"/>
    <hyperlink ref="O198" r:id="rId26" display="lvasquezt@gmail.com" xr:uid="{00000000-0004-0000-0600-000019000000}"/>
    <hyperlink ref="O201" r:id="rId27" display="ingetectura@hotmail.com" xr:uid="{00000000-0004-0000-0600-00001A000000}"/>
    <hyperlink ref="O202" r:id="rId28" display="johnnypereza@outlook.com" xr:uid="{00000000-0004-0000-0600-00001B000000}"/>
    <hyperlink ref="O200" r:id="rId29" display="carloselche78@hotmail.com" xr:uid="{00000000-0004-0000-0600-00001C000000}"/>
    <hyperlink ref="O191" r:id="rId30" display="alexis8303@hotmail.com" xr:uid="{00000000-0004-0000-0600-00001D000000}"/>
    <hyperlink ref="O192" r:id="rId31" display="alicialalane@yahoo.com" xr:uid="{00000000-0004-0000-0600-00001E000000}"/>
    <hyperlink ref="O229" r:id="rId32" display="heralca@gmail.com" xr:uid="{00000000-0004-0000-0600-00001F000000}"/>
    <hyperlink ref="O240" r:id="rId33" display="luisgobaira@hotmail.com" xr:uid="{00000000-0004-0000-0600-000020000000}"/>
    <hyperlink ref="O227" r:id="rId34" display="juanpablo.rod@hotmail.com" xr:uid="{00000000-0004-0000-0600-000021000000}"/>
    <hyperlink ref="O230" r:id="rId35" display="rd_dguez@yahoo.com" xr:uid="{00000000-0004-0000-0600-000022000000}"/>
    <hyperlink ref="O152" r:id="rId36" display="julian@cruzcid.com" xr:uid="{00000000-0004-0000-0600-000023000000}"/>
    <hyperlink ref="O156" r:id="rId37" display="elcastorconstruye@gmail.com" xr:uid="{00000000-0004-0000-0600-000024000000}"/>
    <hyperlink ref="O151" r:id="rId38" display="arqalex_226@hotmail.com" xr:uid="{00000000-0004-0000-0600-000025000000}"/>
    <hyperlink ref="O154" r:id="rId39" display="molina.cxa@gmail.com" xr:uid="{00000000-0004-0000-0600-000026000000}"/>
    <hyperlink ref="O155" r:id="rId40" display="mariojulio.martinez@hotmail.com" xr:uid="{00000000-0004-0000-0600-000027000000}"/>
    <hyperlink ref="O164" r:id="rId41" display="ingcayetano@hotmail.com" xr:uid="{00000000-0004-0000-0600-000028000000}"/>
    <hyperlink ref="O162" r:id="rId42" display="arqhunt@hotmail.com" xr:uid="{00000000-0004-0000-0600-000029000000}"/>
    <hyperlink ref="O163" r:id="rId43" display="ing.carmenfranco@hotmail.com" xr:uid="{00000000-0004-0000-0600-00002A000000}"/>
    <hyperlink ref="O167" r:id="rId44" display="obramsa@yahoo.com" xr:uid="{00000000-0004-0000-0600-00002B000000}"/>
    <hyperlink ref="O169" r:id="rId45" display="Louistaveras85@hotmail.es" xr:uid="{00000000-0004-0000-0600-00002C000000}"/>
    <hyperlink ref="O168" r:id="rId46" display="j.heriveaux@me.com" xr:uid="{00000000-0004-0000-0600-00002D000000}"/>
    <hyperlink ref="O166" r:id="rId47" display="haquinocastillo@gmail.com" xr:uid="{00000000-0004-0000-0600-00002E000000}"/>
    <hyperlink ref="O173" r:id="rId48" display="ramdlrosa28@hotmail.com" xr:uid="{00000000-0004-0000-0600-00002F000000}"/>
    <hyperlink ref="O172" r:id="rId49" display="yeselisjimenez@yahoo.es" xr:uid="{00000000-0004-0000-0600-000030000000}"/>
    <hyperlink ref="O171" r:id="rId50" display="d.y.25@gmai.com" xr:uid="{00000000-0004-0000-0600-000031000000}"/>
    <hyperlink ref="O160" r:id="rId51" display="jannfreisy@gmail.com" xr:uid="{00000000-0004-0000-0600-000032000000}"/>
    <hyperlink ref="O159" r:id="rId52" display="servicios430@yahoo.com" xr:uid="{00000000-0004-0000-0600-000033000000}"/>
    <hyperlink ref="O161" r:id="rId53" display="ing.amadairis@gmail.com" xr:uid="{00000000-0004-0000-0600-000034000000}"/>
    <hyperlink ref="O165" r:id="rId54" display="ing.medina35@gmail.com" xr:uid="{00000000-0004-0000-0600-000035000000}"/>
    <hyperlink ref="O176" r:id="rId55" display="arq_pillier@hotmail.com" xr:uid="{00000000-0004-0000-0600-000036000000}"/>
    <hyperlink ref="O175" r:id="rId56" display="starlin_martinez01@hotmail.com" xr:uid="{00000000-0004-0000-0600-000037000000}"/>
    <hyperlink ref="O214" r:id="rId57" display="xiomypolanco@yahoo.com" xr:uid="{00000000-0004-0000-0600-000038000000}"/>
    <hyperlink ref="O212" r:id="rId58" display="cristhian_peralta01@gmail.com" xr:uid="{00000000-0004-0000-0600-000039000000}"/>
    <hyperlink ref="O215" r:id="rId59" display="ingluismldu12@gmail.com" xr:uid="{00000000-0004-0000-0600-00003A000000}"/>
    <hyperlink ref="O219" r:id="rId60" display="franciscopereyra@hotmail.es" xr:uid="{00000000-0004-0000-0600-00003B000000}"/>
    <hyperlink ref="O226" r:id="rId61" display="victorbueno28@hotmail.com" xr:uid="{00000000-0004-0000-0600-00003C000000}"/>
    <hyperlink ref="O243" r:id="rId62" display="victorbueno28@hotmail.com" xr:uid="{00000000-0004-0000-0600-00003D000000}"/>
    <hyperlink ref="O209" r:id="rId63" display="c.hachebordas@gmail.com" xr:uid="{00000000-0004-0000-0600-00003E000000}"/>
    <hyperlink ref="O211" r:id="rId64" display="dpvargasf@gmail.com" xr:uid="{00000000-0004-0000-0600-00003F000000}"/>
    <hyperlink ref="O218" r:id="rId65" display="rafaelquinones2518@hotmail.com" xr:uid="{00000000-0004-0000-0600-000040000000}"/>
    <hyperlink ref="O221" r:id="rId66" display="ing.consudom.@gmail.com" xr:uid="{00000000-0004-0000-0600-000041000000}"/>
    <hyperlink ref="O47" r:id="rId67" display="eferia@construtek.com" xr:uid="{00000000-0004-0000-0600-000042000000}"/>
    <hyperlink ref="O48" r:id="rId68" display="maggisanchez56@yahoo.es" xr:uid="{00000000-0004-0000-0600-000043000000}"/>
    <hyperlink ref="O49" r:id="rId69" display="eferia@construtek.com" xr:uid="{00000000-0004-0000-0600-000044000000}"/>
    <hyperlink ref="O50" r:id="rId70" display="claudiachalas@gmail.com" xr:uid="{00000000-0004-0000-0600-000045000000}"/>
    <hyperlink ref="O66" r:id="rId71" display="cristopher_3abc4@hotmail.com" xr:uid="{00000000-0004-0000-0600-000046000000}"/>
    <hyperlink ref="O99" r:id="rId72" display="hamidyaryura@peypac.com.do" xr:uid="{00000000-0004-0000-0600-000047000000}"/>
    <hyperlink ref="O51" r:id="rId73" display="johanny_estrella@hotmail.com" xr:uid="{00000000-0004-0000-0600-000048000000}"/>
    <hyperlink ref="O52" r:id="rId74" display="constructorayeara@gmail.com" xr:uid="{00000000-0004-0000-0600-000049000000}"/>
    <hyperlink ref="O55" r:id="rId75" display="dtodoterminaciones@gmail.com" xr:uid="{00000000-0004-0000-0600-00004A000000}"/>
    <hyperlink ref="O96" r:id="rId76" display="anrope45@hotmail.com" xr:uid="{00000000-0004-0000-0600-00004B000000}"/>
    <hyperlink ref="O97" r:id="rId77" display="sanvalarquitectura@gmail.com" xr:uid="{00000000-0004-0000-0600-00004C000000}"/>
    <hyperlink ref="O98" r:id="rId78" display="pablomadera@gmail.com" xr:uid="{00000000-0004-0000-0600-00004D000000}"/>
    <hyperlink ref="O158" r:id="rId79" display="elenacabrera07@gmail.com" xr:uid="{00000000-0004-0000-0600-00004E000000}"/>
    <hyperlink ref="O56" r:id="rId80" display="joem16@gmail.com" xr:uid="{00000000-0004-0000-0600-00004F000000}"/>
    <hyperlink ref="O57" r:id="rId81" display="j.cifres1975@gmail.com" xr:uid="{00000000-0004-0000-0600-000050000000}"/>
    <hyperlink ref="O58" r:id="rId82" display="martinezaquino24@gmail.com" xr:uid="{00000000-0004-0000-0600-000051000000}"/>
    <hyperlink ref="O59" r:id="rId83" display="vencarnacion@vimaenro.com" xr:uid="{00000000-0004-0000-0600-000052000000}"/>
    <hyperlink ref="O94" r:id="rId84" display="jgpolanco@gmail.com" xr:uid="{00000000-0004-0000-0600-000053000000}"/>
    <hyperlink ref="O256" r:id="rId85" display="ingmaggiemed@hotmail.com" xr:uid="{00000000-0004-0000-0600-000054000000}"/>
    <hyperlink ref="O258" r:id="rId86" display="arqjnatera@gmail.com" xr:uid="{00000000-0004-0000-0600-000055000000}"/>
    <hyperlink ref="O262" r:id="rId87" display="nelle192@hotmail.com" xr:uid="{00000000-0004-0000-0600-000056000000}"/>
    <hyperlink ref="O260" r:id="rId88" display="constructorarocasa@hotmail.com" xr:uid="{00000000-0004-0000-0600-000057000000}"/>
    <hyperlink ref="O100" r:id="rId89" display="mariep.vargas@hotmail.com" xr:uid="{00000000-0004-0000-0600-000058000000}"/>
    <hyperlink ref="O103" r:id="rId90" display="pedrojoserodriguezmoris@hotmail.com" xr:uid="{00000000-0004-0000-0600-000059000000}"/>
    <hyperlink ref="O106" r:id="rId91" display="maleck_03@yahoo.com" xr:uid="{00000000-0004-0000-0600-00005A000000}"/>
    <hyperlink ref="O107" r:id="rId92" display="jenniferpelaez12@hotmail.com" xr:uid="{00000000-0004-0000-0600-00005B000000}"/>
    <hyperlink ref="O109" r:id="rId93" display="ing.lajara@live.com" xr:uid="{00000000-0004-0000-0600-00005C000000}"/>
    <hyperlink ref="O108" r:id="rId94" display="ing.santos1978@gmail.com" xr:uid="{00000000-0004-0000-0600-00005D000000}"/>
    <hyperlink ref="O110" r:id="rId95" display="moreno.mateo@gmail.com" xr:uid="{00000000-0004-0000-0600-00005E000000}"/>
    <hyperlink ref="O84" r:id="rId96" display="fdelrio@pimpina.com.do" xr:uid="{00000000-0004-0000-0600-00005F000000}"/>
    <hyperlink ref="O113" r:id="rId97" display="eimiaamariana@gmail.com" xr:uid="{00000000-0004-0000-0600-000060000000}"/>
    <hyperlink ref="O114" r:id="rId98" display="castillo110611@gmail.com" xr:uid="{00000000-0004-0000-0600-000061000000}"/>
    <hyperlink ref="O115" r:id="rId99" display="zorrilla1984@gmail.com" xr:uid="{00000000-0004-0000-0600-000062000000}"/>
    <hyperlink ref="O119" r:id="rId100" display="pptorilan@hotmail.com" xr:uid="{00000000-0004-0000-0600-000063000000}"/>
    <hyperlink ref="O120" r:id="rId101" display="wjtejeda@hotmail.com" xr:uid="{00000000-0004-0000-0600-000064000000}"/>
    <hyperlink ref="O123" r:id="rId102" display="collado23@gmail.com" xr:uid="{00000000-0004-0000-0600-000065000000}"/>
    <hyperlink ref="O124" r:id="rId103" display="wellingtonramirez_@hotmail.com" xr:uid="{00000000-0004-0000-0600-000066000000}"/>
    <hyperlink ref="O122" r:id="rId104" display="josebernardocid@gmail.com" xr:uid="{00000000-0004-0000-0600-000067000000}"/>
    <hyperlink ref="O125" r:id="rId105" display="jonathanbrito1978@hotmail.com" xr:uid="{00000000-0004-0000-0600-000068000000}"/>
    <hyperlink ref="O126" r:id="rId106" display="anibal256@hotmail.com" xr:uid="{00000000-0004-0000-0600-000069000000}"/>
    <hyperlink ref="O130" r:id="rId107" display="Mildred_suero@hotmail.com" xr:uid="{00000000-0004-0000-0600-00006A000000}"/>
    <hyperlink ref="O129" r:id="rId108" display="caceresalexandra@yahoo.com" xr:uid="{00000000-0004-0000-0600-00006B000000}"/>
    <hyperlink ref="O128" r:id="rId109" display="brauliojmr@gmail.com" xr:uid="{00000000-0004-0000-0600-00006C000000}"/>
    <hyperlink ref="O86" r:id="rId110" display="ingbrauliomartinez@gmail.com" xr:uid="{00000000-0004-0000-0600-00006D000000}"/>
    <hyperlink ref="O87" r:id="rId111" display="meriyeni2009@hotmail.com" xr:uid="{00000000-0004-0000-0600-00006E000000}"/>
    <hyperlink ref="O88" r:id="rId112" display="cifres4@hotmail.com" xr:uid="{00000000-0004-0000-0600-00006F000000}"/>
    <hyperlink ref="O89" r:id="rId113" display="jeandave777@gmail.com" xr:uid="{00000000-0004-0000-0600-000070000000}"/>
    <hyperlink ref="O90" r:id="rId114" display="abreurosario1@hotmail.com" xr:uid="{00000000-0004-0000-0600-000071000000}"/>
    <hyperlink ref="O61" r:id="rId115" display="lclaribel2004@yahoo.com" xr:uid="{00000000-0004-0000-0600-000072000000}"/>
    <hyperlink ref="O62" r:id="rId116" display="luispolanco96@hotmail.com" xr:uid="{00000000-0004-0000-0600-000073000000}"/>
    <hyperlink ref="O63" r:id="rId117" display="judithcruz21@hotmail.com" xr:uid="{00000000-0004-0000-0600-000074000000}"/>
    <hyperlink ref="O64" r:id="rId118" display="garciacarolina14@gmail.com" xr:uid="{00000000-0004-0000-0600-000075000000}"/>
    <hyperlink ref="O65" r:id="rId119" display="ing_0930@hotmail.com" xr:uid="{00000000-0004-0000-0600-000076000000}"/>
    <hyperlink ref="O68" r:id="rId120" display="delvinson2007@gmail.com" xr:uid="{00000000-0004-0000-0600-000077000000}"/>
    <hyperlink ref="O69" r:id="rId121" display="inglabata22@gmail.com" xr:uid="{00000000-0004-0000-0600-000078000000}"/>
    <hyperlink ref="O73" r:id="rId122" display="marthadesanchez@gmail.com" xr:uid="{00000000-0004-0000-0600-000079000000}"/>
    <hyperlink ref="O67" r:id="rId123" display="javielmora23@hotmail.com" xr:uid="{00000000-0004-0000-0600-00007A000000}"/>
    <hyperlink ref="O72" r:id="rId124" display="pedrososa27@hotmail.com" xr:uid="{00000000-0004-0000-0600-00007B000000}"/>
    <hyperlink ref="O71" r:id="rId125" display="daysis-santos@hotmail.com" xr:uid="{00000000-0004-0000-0600-00007C000000}"/>
    <hyperlink ref="O74" r:id="rId126" display="arq.banesahowley@hotmail.com" xr:uid="{00000000-0004-0000-0600-00007D000000}"/>
    <hyperlink ref="O76" r:id="rId127" display="joel@edconsa.com" xr:uid="{00000000-0004-0000-0600-00007E000000}"/>
    <hyperlink ref="O78" r:id="rId128" display="felixherrera09@hotmail.com" xr:uid="{00000000-0004-0000-0600-00007F000000}"/>
    <hyperlink ref="O79" r:id="rId129" display="yoannamatos01@gmail.com" xr:uid="{00000000-0004-0000-0600-000080000000}"/>
    <hyperlink ref="O77" r:id="rId130" display="evelinestrella@hotmail.com" xr:uid="{00000000-0004-0000-0600-000081000000}"/>
    <hyperlink ref="O81" r:id="rId131" display="jmolina@ucsd.edu.do" xr:uid="{00000000-0004-0000-0600-000082000000}"/>
    <hyperlink ref="O82" r:id="rId132" display="wilsonburgos01@hotmail.com" xr:uid="{00000000-0004-0000-0600-000083000000}"/>
    <hyperlink ref="O75" r:id="rId133" display="arq.banesahowley@hotmail.com" xr:uid="{00000000-0004-0000-0600-000084000000}"/>
    <hyperlink ref="O204" r:id="rId134" display="juniorandujar2020@hotmail.com" xr:uid="{00000000-0004-0000-0600-000085000000}"/>
    <hyperlink ref="O207" r:id="rId135" display="guario22@hotmail.com" xr:uid="{00000000-0004-0000-0600-000086000000}"/>
    <hyperlink ref="O208" r:id="rId136" display="fc-elmaster@hotmail.com" xr:uid="{00000000-0004-0000-0600-000087000000}"/>
    <hyperlink ref="O235" r:id="rId137" display="cyndi_castillo@hotmail.com" xr:uid="{00000000-0004-0000-0600-000088000000}"/>
    <hyperlink ref="O213" r:id="rId138" display="ingpriscillaantonio@hotmail.com" xr:uid="{00000000-0004-0000-0600-000089000000}"/>
    <hyperlink ref="O30" r:id="rId139" display="calderon.marcia@gmail.com" xr:uid="{00000000-0004-0000-0600-00008A000000}"/>
    <hyperlink ref="O31" r:id="rId140" display="dinymatos@hotmail.com" xr:uid="{00000000-0004-0000-0600-00008B000000}"/>
    <hyperlink ref="O34" r:id="rId141" display="emmanuel.grupokratos@gmail.com" xr:uid="{00000000-0004-0000-0600-00008C000000}"/>
    <hyperlink ref="O35" r:id="rId142" display="cons_royser@hotmail.com" xr:uid="{00000000-0004-0000-0600-00008D000000}"/>
    <hyperlink ref="O36" r:id="rId143" display="arqradriel@hotmail.es" xr:uid="{00000000-0004-0000-0600-00008E000000}"/>
    <hyperlink ref="O37" r:id="rId144" display="evenecer.arm@hotmail.com" xr:uid="{00000000-0004-0000-0600-00008F000000}"/>
    <hyperlink ref="O42" r:id="rId145" display="stalincarbonell@yahoo.com" xr:uid="{00000000-0004-0000-0600-000090000000}"/>
    <hyperlink ref="O41" r:id="rId146" display="hector.claro@hotmail.com" xr:uid="{00000000-0004-0000-0600-000091000000}"/>
    <hyperlink ref="O39" r:id="rId147" display="kelgonsa@hotmail.com" xr:uid="{00000000-0004-0000-0600-000092000000}"/>
    <hyperlink ref="O40" r:id="rId148" display="woodysjimenez@gmail.com" xr:uid="{00000000-0004-0000-0600-000093000000}"/>
    <hyperlink ref="O44" r:id="rId149" display="construmagna@hotmail.com" xr:uid="{00000000-0004-0000-0600-000094000000}"/>
    <hyperlink ref="O38" r:id="rId150" display="ing.medina78@hotmail.com" xr:uid="{00000000-0004-0000-0600-000095000000}"/>
    <hyperlink ref="O14" r:id="rId151" display="calderon.marcia@gmail.com" xr:uid="{00000000-0004-0000-0600-000096000000}"/>
    <hyperlink ref="O15" r:id="rId152" display="dinymatos@hotmail.com" xr:uid="{00000000-0004-0000-0600-000097000000}"/>
    <hyperlink ref="O12" r:id="rId153" display="mariodelgadomalagon@yahoo.com" xr:uid="{00000000-0004-0000-0600-000098000000}"/>
    <hyperlink ref="O18" r:id="rId154" display="emmanuel.grupokratos@gmail.com" xr:uid="{00000000-0004-0000-0600-000099000000}"/>
    <hyperlink ref="O19" r:id="rId155" display="vlasanchez@yahoo.com" xr:uid="{00000000-0004-0000-0600-00009A000000}"/>
    <hyperlink ref="O20" r:id="rId156" display="arqradriel@hotmail.es" xr:uid="{00000000-0004-0000-0600-00009B000000}"/>
    <hyperlink ref="O21" r:id="rId157" display="evenecer.arm@hotmail.com" xr:uid="{00000000-0004-0000-0600-00009C000000}"/>
    <hyperlink ref="O26" r:id="rId158" display="stalincarbonell@yahoo.com" xr:uid="{00000000-0004-0000-0600-00009D000000}"/>
    <hyperlink ref="O25" r:id="rId159" display="hector.claro@hotmail.com" xr:uid="{00000000-0004-0000-0600-00009E000000}"/>
    <hyperlink ref="O23" r:id="rId160" display="martinezsubero2010@hotmail.com" xr:uid="{00000000-0004-0000-0600-00009F000000}"/>
    <hyperlink ref="O24" r:id="rId161" display="b.ledesma9@gmail.com" xr:uid="{00000000-0004-0000-0600-0000A0000000}"/>
  </hyperlinks>
  <printOptions horizontalCentered="1" verticalCentered="1"/>
  <pageMargins left="0.19685039370078741" right="0" top="0.39370078740157483" bottom="0.19685039370078741" header="0.19685039370078741" footer="0.11811023622047245"/>
  <pageSetup scale="34" fitToHeight="20" orientation="landscape" r:id="rId162"/>
  <headerFooter>
    <oddFooter>&amp;C&amp;A&amp;R&amp;P de &amp;N</oddFooter>
  </headerFooter>
  <rowBreaks count="2" manualBreakCount="2">
    <brk id="25" max="16" man="1"/>
    <brk id="106" max="16" man="1"/>
  </rowBreaks>
  <colBreaks count="1" manualBreakCount="1">
    <brk id="14" max="261" man="1"/>
  </colBreaks>
  <drawing r:id="rId16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'\\SRODRIGUEZPC\Users\sonia.rodriguez\Desktop\Archivos Comparitdos\Sistematizacion\Matriz Seguimiento Mensual\[Resumen Mensual Ing. Gregory Perez.xlsx]Datos de Referencia'!#REF!</xm:f>
          </x14:formula1>
          <xm:sqref>L102:L130 N127:O127 N217 N222:N223 N210 N194:O194 O216:O218 N220 M238 O241 I119:K120 O227 M227:M231 O238:O239 M209:M211 I240:L240 M234 I100:L100 O209:O211 N174:O174 I109:K109 I114:K114 I234:L236 I244:J254 O220:O225 L244:L254 I205:I209 Q206 M218 J206:M209 O230:O234 J129:K130 K244:K252 M177 N185:O185 M37 N34:O34 M31 N206:O206 N244:O244 N249:O250 M146 N150:O150 N102:O102 N42:O43 N170:O170 N157:O158 N227:N232 N131:O132 M221:M224 N111:O111 N189:O190 K254 N30:O32 N36:O37 N145:O146 N177:O180 M216 I227:L232 N255:O255 M252 N252:O253 J84:L84</xm:sqref>
        </x14:dataValidation>
        <x14:dataValidation type="list" allowBlank="1" showInputMessage="1" showErrorMessage="1" xr:uid="{00000000-0002-0000-0600-000004000000}">
          <x14:formula1>
            <xm:f>'C:\Users\sonia.rodriguez\Desktop\Sistematización julio 2019\Matriz Seguimiento Mensual\[Resumen Mensual Nolis Jáquez.xlsx]Datos de Referencia'!#REF!</xm:f>
          </x14:formula1>
          <xm:sqref>I260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F36BDC"/>
  </sheetPr>
  <dimension ref="A1:R158"/>
  <sheetViews>
    <sheetView zoomScale="78" zoomScaleNormal="78" workbookViewId="0">
      <selection activeCell="F173" sqref="F173"/>
    </sheetView>
  </sheetViews>
  <sheetFormatPr baseColWidth="10" defaultColWidth="11.42578125" defaultRowHeight="15" x14ac:dyDescent="0.25"/>
  <cols>
    <col min="1" max="1" width="5.5703125" style="1" customWidth="1"/>
    <col min="2" max="2" width="17.7109375" customWidth="1"/>
    <col min="3" max="3" width="23.140625" customWidth="1"/>
    <col min="4" max="4" width="18.5703125" style="6" customWidth="1"/>
    <col min="5" max="5" width="27" customWidth="1"/>
    <col min="6" max="6" width="32.140625" customWidth="1"/>
    <col min="7" max="7" width="26.5703125" customWidth="1"/>
    <col min="8" max="8" width="16.140625" customWidth="1"/>
    <col min="9" max="9" width="12.85546875" style="6" customWidth="1"/>
    <col min="10" max="10" width="15.28515625" customWidth="1"/>
    <col min="11" max="11" width="19.7109375" customWidth="1"/>
    <col min="12" max="12" width="18.5703125" customWidth="1"/>
    <col min="13" max="13" width="27.140625" style="1" customWidth="1"/>
    <col min="14" max="14" width="19.85546875" customWidth="1"/>
    <col min="15" max="15" width="16.85546875" customWidth="1"/>
    <col min="16" max="16" width="20.140625" customWidth="1"/>
    <col min="17" max="17" width="14.7109375" customWidth="1"/>
    <col min="18" max="18" width="14.85546875" customWidth="1"/>
  </cols>
  <sheetData>
    <row r="1" spans="1:13" x14ac:dyDescent="0.25">
      <c r="B1" s="7"/>
    </row>
    <row r="2" spans="1:13" ht="15.75" x14ac:dyDescent="0.25">
      <c r="A2" s="381" t="s">
        <v>523</v>
      </c>
      <c r="B2" s="381"/>
      <c r="C2" s="381"/>
      <c r="D2" s="381"/>
      <c r="E2" s="381"/>
      <c r="F2" s="381"/>
      <c r="G2" s="381"/>
      <c r="H2" s="381"/>
      <c r="I2" s="381"/>
      <c r="J2" s="381"/>
    </row>
    <row r="3" spans="1:13" ht="21" customHeight="1" x14ac:dyDescent="0.25">
      <c r="A3" s="381" t="s">
        <v>517</v>
      </c>
      <c r="B3" s="381"/>
      <c r="C3" s="381"/>
      <c r="D3" s="381"/>
      <c r="E3" s="381"/>
      <c r="F3" s="381"/>
      <c r="G3" s="381"/>
      <c r="H3" s="381"/>
      <c r="I3" s="381"/>
      <c r="J3" s="381"/>
    </row>
    <row r="4" spans="1:13" x14ac:dyDescent="0.25">
      <c r="D4" s="401" t="s">
        <v>558</v>
      </c>
      <c r="E4" s="401"/>
      <c r="F4" s="401"/>
      <c r="G4" s="401"/>
    </row>
    <row r="5" spans="1:13" ht="24.75" customHeight="1" x14ac:dyDescent="0.25">
      <c r="A5" s="399" t="s">
        <v>738</v>
      </c>
      <c r="B5" s="399"/>
      <c r="C5" s="399"/>
      <c r="D5" s="399"/>
      <c r="E5" s="399"/>
      <c r="F5" s="399"/>
      <c r="G5" s="399"/>
      <c r="H5" s="399"/>
      <c r="I5" s="399"/>
      <c r="J5" s="399"/>
    </row>
    <row r="6" spans="1:13" ht="16.5" customHeight="1" x14ac:dyDescent="0.25">
      <c r="A6" s="400" t="s">
        <v>536</v>
      </c>
      <c r="B6" s="400"/>
      <c r="C6" s="400"/>
      <c r="D6" s="400"/>
      <c r="E6" s="400"/>
      <c r="F6" s="400"/>
      <c r="G6" s="400"/>
      <c r="H6" s="400"/>
      <c r="I6" s="400"/>
      <c r="J6" s="400"/>
    </row>
    <row r="7" spans="1:13" ht="16.5" customHeight="1" x14ac:dyDescent="0.25">
      <c r="A7" s="172"/>
      <c r="B7" s="172"/>
      <c r="C7" s="172"/>
      <c r="D7" s="172"/>
      <c r="E7" s="172"/>
      <c r="F7" s="172"/>
      <c r="G7" s="172"/>
      <c r="H7" s="172"/>
      <c r="I7" s="172"/>
      <c r="J7" s="172"/>
    </row>
    <row r="8" spans="1:13" ht="47.25" x14ac:dyDescent="0.25">
      <c r="A8" s="17" t="s">
        <v>537</v>
      </c>
      <c r="B8" s="17" t="s">
        <v>74</v>
      </c>
      <c r="C8" s="17" t="s">
        <v>109</v>
      </c>
      <c r="D8" s="17" t="s">
        <v>110</v>
      </c>
      <c r="E8" s="17" t="s">
        <v>111</v>
      </c>
      <c r="F8" s="17" t="s">
        <v>112</v>
      </c>
      <c r="G8" s="17" t="s">
        <v>78</v>
      </c>
      <c r="H8" s="17" t="s">
        <v>113</v>
      </c>
      <c r="I8" s="17" t="s">
        <v>119</v>
      </c>
      <c r="J8" s="18" t="s">
        <v>120</v>
      </c>
      <c r="K8" s="17" t="s">
        <v>538</v>
      </c>
      <c r="L8" s="17" t="s">
        <v>528</v>
      </c>
      <c r="M8" s="17" t="s">
        <v>586</v>
      </c>
    </row>
    <row r="9" spans="1:13" ht="31.5" x14ac:dyDescent="0.25">
      <c r="A9" s="71">
        <v>1</v>
      </c>
      <c r="B9" s="100" t="str">
        <f>'Seguimiento Julio 2024'!C60</f>
        <v>Santo Domingo</v>
      </c>
      <c r="C9" s="100" t="str">
        <f>'Seguimiento Julio 2024'!D60</f>
        <v>Boca Chica</v>
      </c>
      <c r="D9" s="100" t="str">
        <f>'Seguimiento Julio 2024'!E60</f>
        <v>Municipio Completo</v>
      </c>
      <c r="E9" s="115" t="str">
        <f>'Seguimiento Julio 2024'!F60</f>
        <v>Andres Boca Chica (Los Botaos)</v>
      </c>
      <c r="F9" s="115" t="str">
        <f>'Seguimiento Julio 2024'!G60</f>
        <v>Calle Resp. Manuela Diez</v>
      </c>
      <c r="G9" s="115" t="str">
        <f>'Seguimiento Julio 2024'!H60</f>
        <v>Inaugurado</v>
      </c>
      <c r="H9" s="115">
        <f>'Seguimiento Julio 2024'!I60</f>
        <v>0</v>
      </c>
      <c r="I9" s="115" t="str">
        <f>'Seguimiento Julio 2024'!P60</f>
        <v>1ER</v>
      </c>
      <c r="J9" s="101">
        <f>'Seguimiento Julio 2024'!Q60</f>
        <v>1</v>
      </c>
      <c r="K9" s="86"/>
      <c r="L9" s="86" t="s">
        <v>539</v>
      </c>
      <c r="M9" s="283"/>
    </row>
    <row r="10" spans="1:13" ht="31.5" x14ac:dyDescent="0.25">
      <c r="A10" s="112">
        <v>2</v>
      </c>
      <c r="B10" s="29" t="str">
        <f>'Seguimiento Julio 2024'!C61</f>
        <v>Santo Domingo</v>
      </c>
      <c r="C10" s="29" t="str">
        <f>'Seguimiento Julio 2024'!D61</f>
        <v>Boca Chica</v>
      </c>
      <c r="D10" s="29" t="str">
        <f>'Seguimiento Julio 2024'!E61</f>
        <v>Municipio Completo</v>
      </c>
      <c r="E10" s="28" t="str">
        <f>'Seguimiento Julio 2024'!F61</f>
        <v>Andres – Boca Chica 1</v>
      </c>
      <c r="F10" s="28" t="str">
        <f>'Seguimiento Julio 2024'!G61</f>
        <v>Barrio Altos de Chavón, Andres Norte</v>
      </c>
      <c r="G10" s="28" t="str">
        <f>'Seguimiento Julio 2024'!H61</f>
        <v>Detenido pago cubicación</v>
      </c>
      <c r="H10" s="28">
        <f>'Seguimiento Julio 2024'!I61</f>
        <v>0</v>
      </c>
      <c r="I10" s="28" t="str">
        <f>'Seguimiento Julio 2024'!P61</f>
        <v>2DO</v>
      </c>
      <c r="J10" s="30">
        <f>'Seguimiento Julio 2024'!Q61</f>
        <v>0.52</v>
      </c>
      <c r="K10" s="87"/>
      <c r="L10" s="88" t="s">
        <v>539</v>
      </c>
      <c r="M10" s="284"/>
    </row>
    <row r="11" spans="1:13" ht="31.5" x14ac:dyDescent="0.25">
      <c r="A11" s="88">
        <v>3</v>
      </c>
      <c r="B11" s="22" t="str">
        <f>'Seguimiento Julio 2024'!C62</f>
        <v>Santo Domingo</v>
      </c>
      <c r="C11" s="22" t="str">
        <f>'Seguimiento Julio 2024'!D62</f>
        <v>Boca Chica</v>
      </c>
      <c r="D11" s="22" t="str">
        <f>'Seguimiento Julio 2024'!E62</f>
        <v>Municipio Completo</v>
      </c>
      <c r="E11" s="19" t="str">
        <f>'Seguimiento Julio 2024'!F62</f>
        <v>Andres – Boca Chica 2</v>
      </c>
      <c r="F11" s="19" t="str">
        <f>'Seguimiento Julio 2024'!G62</f>
        <v>Barrio Sucio, Andres Sur</v>
      </c>
      <c r="G11" s="19" t="str">
        <f>'Seguimiento Julio 2024'!H62</f>
        <v>Sin Iniciar</v>
      </c>
      <c r="H11" s="19" t="str">
        <f>'Seguimiento Julio 2024'!I62</f>
        <v xml:space="preserve">Con Propuesta </v>
      </c>
      <c r="I11" s="19" t="str">
        <f>'Seguimiento Julio 2024'!P62</f>
        <v>2DO</v>
      </c>
      <c r="J11" s="16">
        <f>'Seguimiento Julio 2024'!Q62</f>
        <v>0</v>
      </c>
      <c r="K11" s="87"/>
      <c r="L11" s="88" t="s">
        <v>539</v>
      </c>
      <c r="M11" s="284"/>
    </row>
    <row r="12" spans="1:13" ht="31.5" x14ac:dyDescent="0.25">
      <c r="A12" s="71">
        <v>4</v>
      </c>
      <c r="B12" s="22" t="str">
        <f>'Seguimiento Julio 2024'!C63</f>
        <v>Santo Domingo</v>
      </c>
      <c r="C12" s="22" t="str">
        <f>'Seguimiento Julio 2024'!D63</f>
        <v>Boca Chica</v>
      </c>
      <c r="D12" s="22" t="str">
        <f>'Seguimiento Julio 2024'!E63</f>
        <v>Municipio Completo</v>
      </c>
      <c r="E12" s="19" t="str">
        <f>'Seguimiento Julio 2024'!F63</f>
        <v>La Caleta – Boca Chica 1 (Bo. El Valiente)</v>
      </c>
      <c r="F12" s="19" t="str">
        <f>'Seguimiento Julio 2024'!G63</f>
        <v>Barrio Valiente, Boca Chica 1</v>
      </c>
      <c r="G12" s="19" t="str">
        <f>'Seguimiento Julio 2024'!H63</f>
        <v>Detenido pago cubicación</v>
      </c>
      <c r="H12" s="19">
        <f>'Seguimiento Julio 2024'!I63</f>
        <v>0</v>
      </c>
      <c r="I12" s="19" t="str">
        <f>'Seguimiento Julio 2024'!P63</f>
        <v>2DO</v>
      </c>
      <c r="J12" s="16">
        <f>'Seguimiento Julio 2024'!Q63</f>
        <v>0.62</v>
      </c>
      <c r="K12" s="88"/>
      <c r="L12" s="88" t="s">
        <v>539</v>
      </c>
      <c r="M12" s="284"/>
    </row>
    <row r="13" spans="1:13" ht="31.5" x14ac:dyDescent="0.25">
      <c r="A13" s="112">
        <v>5</v>
      </c>
      <c r="B13" s="22" t="str">
        <f>'Seguimiento Julio 2024'!C64</f>
        <v>Santo Domingo</v>
      </c>
      <c r="C13" s="22" t="str">
        <f>'Seguimiento Julio 2024'!D64</f>
        <v>Boca Chica</v>
      </c>
      <c r="D13" s="22" t="str">
        <f>'Seguimiento Julio 2024'!E64</f>
        <v>Municipio Completo</v>
      </c>
      <c r="E13" s="19" t="str">
        <f>'Seguimiento Julio 2024'!F64</f>
        <v>La Caleta – Boca Chica 2</v>
      </c>
      <c r="F13" s="19" t="str">
        <f>'Seguimiento Julio 2024'!G64</f>
        <v>Barrio Caliche de Monte Adentro</v>
      </c>
      <c r="G13" s="19" t="str">
        <f>'Seguimiento Julio 2024'!H64</f>
        <v>Detenido</v>
      </c>
      <c r="H13" s="19">
        <f>'Seguimiento Julio 2024'!I64</f>
        <v>0</v>
      </c>
      <c r="I13" s="19" t="str">
        <f>'Seguimiento Julio 2024'!P64</f>
        <v>2DO</v>
      </c>
      <c r="J13" s="16">
        <f>'Seguimiento Julio 2024'!Q64</f>
        <v>0.94</v>
      </c>
      <c r="K13" s="87"/>
      <c r="L13" s="88" t="s">
        <v>539</v>
      </c>
      <c r="M13" s="284"/>
    </row>
    <row r="14" spans="1:13" ht="30.75" customHeight="1" x14ac:dyDescent="0.25">
      <c r="A14" s="88">
        <v>6</v>
      </c>
      <c r="B14" s="96" t="str">
        <f>'Seguimiento Julio 2024'!C65</f>
        <v>Santo Domingo</v>
      </c>
      <c r="C14" s="96" t="str">
        <f>'Seguimiento Julio 2024'!D65</f>
        <v>Boca Chica</v>
      </c>
      <c r="D14" s="96" t="str">
        <f>'Seguimiento Julio 2024'!E65</f>
        <v>Municipio Completo</v>
      </c>
      <c r="E14" s="97" t="str">
        <f>'Seguimiento Julio 2024'!F65</f>
        <v>La Caleta - Boca Chica 3 (Trasladada Desde Barquita)</v>
      </c>
      <c r="F14" s="97" t="str">
        <f>'Seguimiento Julio 2024'!G65</f>
        <v xml:space="preserve">Calle Fauto Cruz esq. El Peso, La Caleta </v>
      </c>
      <c r="G14" s="97" t="str">
        <f>'Seguimiento Julio 2024'!H65</f>
        <v>Inaugurado</v>
      </c>
      <c r="H14" s="97">
        <f>'Seguimiento Julio 2024'!I65</f>
        <v>0</v>
      </c>
      <c r="I14" s="97" t="str">
        <f>'Seguimiento Julio 2024'!P65</f>
        <v>2DO</v>
      </c>
      <c r="J14" s="99">
        <f>'Seguimiento Julio 2024'!Q65</f>
        <v>1</v>
      </c>
      <c r="K14" s="89"/>
      <c r="L14" s="90" t="s">
        <v>539</v>
      </c>
      <c r="M14" s="284"/>
    </row>
    <row r="15" spans="1:13" ht="54.75" customHeight="1" x14ac:dyDescent="0.25">
      <c r="A15" s="71">
        <v>7</v>
      </c>
      <c r="B15" s="20" t="str">
        <f>'Seguimiento Julio 2024'!C66</f>
        <v>Santo Domingo</v>
      </c>
      <c r="C15" s="20" t="str">
        <f>'Seguimiento Julio 2024'!D66</f>
        <v>Boca Chica</v>
      </c>
      <c r="D15" s="20" t="str">
        <f>'Seguimiento Julio 2024'!E66</f>
        <v>Bloque Barrio</v>
      </c>
      <c r="E15" s="21" t="str">
        <f>'Seguimiento Julio 2024'!F66</f>
        <v>Parque Cibernético ITLA (trasladada desde Capotillo 2)</v>
      </c>
      <c r="F15" s="21" t="str">
        <f>'Seguimiento Julio 2024'!G66</f>
        <v xml:space="preserve">Parque Cibernético ITLA </v>
      </c>
      <c r="G15" s="20" t="str">
        <f>'Seguimiento Julio 2024'!H66</f>
        <v>Sin Iniciar</v>
      </c>
      <c r="H15" s="20" t="str">
        <f>'Seguimiento Julio 2024'!I66</f>
        <v xml:space="preserve">Con Propuesta de Donación </v>
      </c>
      <c r="I15" s="21" t="str">
        <f>'Seguimiento Julio 2024'!P66</f>
        <v>2DO</v>
      </c>
      <c r="J15" s="80">
        <f>'Seguimiento Julio 2024'!Q66</f>
        <v>0</v>
      </c>
      <c r="K15" s="91"/>
      <c r="L15" s="90" t="s">
        <v>539</v>
      </c>
      <c r="M15" s="284"/>
    </row>
    <row r="16" spans="1:13" ht="52.5" customHeight="1" x14ac:dyDescent="0.25">
      <c r="A16" s="112">
        <v>8</v>
      </c>
      <c r="B16" s="23" t="str">
        <f>'Seguimiento Julio 2024'!C67</f>
        <v>Santo Domingo</v>
      </c>
      <c r="C16" s="23" t="str">
        <f>'Seguimiento Julio 2024'!D67</f>
        <v>Santo Domingo Este</v>
      </c>
      <c r="D16" s="23" t="str">
        <f>'Seguimiento Julio 2024'!E67</f>
        <v>Bloque Barrio</v>
      </c>
      <c r="E16" s="24" t="str">
        <f>'Seguimiento Julio 2024'!F67</f>
        <v>Los Frailes (Trasladada Desde Los Rios II)</v>
      </c>
      <c r="F16" s="24" t="str">
        <f>'Seguimiento Julio 2024'!G67</f>
        <v>Los Rios</v>
      </c>
      <c r="G16" s="26" t="str">
        <f>'Seguimiento Julio 2024'!H67</f>
        <v>Inaugurado</v>
      </c>
      <c r="H16" s="26">
        <f>'Seguimiento Julio 2024'!I67</f>
        <v>0</v>
      </c>
      <c r="I16" s="24" t="str">
        <f>'Seguimiento Julio 2024'!P67</f>
        <v>1ER</v>
      </c>
      <c r="J16" s="25">
        <f>'Seguimiento Julio 2024'!Q67</f>
        <v>1</v>
      </c>
      <c r="K16" s="87"/>
      <c r="L16" s="86" t="s">
        <v>541</v>
      </c>
      <c r="M16" s="284" t="s">
        <v>582</v>
      </c>
    </row>
    <row r="17" spans="1:13" ht="15.75" x14ac:dyDescent="0.25">
      <c r="A17" s="88">
        <v>9</v>
      </c>
      <c r="B17" s="29" t="str">
        <f>'Seguimiento Julio 2024'!C68</f>
        <v>Santo Domingo</v>
      </c>
      <c r="C17" s="29" t="str">
        <f>'Seguimiento Julio 2024'!D68</f>
        <v>Santo Domingo Este</v>
      </c>
      <c r="D17" s="29" t="str">
        <f>'Seguimiento Julio 2024'!E68</f>
        <v>Bloque Barrio</v>
      </c>
      <c r="E17" s="28" t="str">
        <f>'Seguimiento Julio 2024'!F68</f>
        <v>La Isabelita</v>
      </c>
      <c r="F17" s="28" t="str">
        <f>'Seguimiento Julio 2024'!G68</f>
        <v>La Isabelita</v>
      </c>
      <c r="G17" s="113" t="str">
        <f>'Seguimiento Julio 2024'!H68</f>
        <v>Inaugurado</v>
      </c>
      <c r="H17" s="113">
        <f>'Seguimiento Julio 2024'!I68</f>
        <v>0</v>
      </c>
      <c r="I17" s="28" t="str">
        <f>'Seguimiento Julio 2024'!P68</f>
        <v>1ER</v>
      </c>
      <c r="J17" s="30">
        <f>'Seguimiento Julio 2024'!Q68</f>
        <v>1</v>
      </c>
      <c r="K17" s="87"/>
      <c r="L17" s="86" t="s">
        <v>541</v>
      </c>
      <c r="M17" s="285" t="s">
        <v>584</v>
      </c>
    </row>
    <row r="18" spans="1:13" ht="31.5" x14ac:dyDescent="0.25">
      <c r="A18" s="71">
        <v>10</v>
      </c>
      <c r="B18" s="22" t="str">
        <f>'Seguimiento Julio 2024'!C69</f>
        <v>Santo Domingo</v>
      </c>
      <c r="C18" s="22" t="str">
        <f>'Seguimiento Julio 2024'!D69</f>
        <v>Santo Domingo Este</v>
      </c>
      <c r="D18" s="22" t="str">
        <f>'Seguimiento Julio 2024'!E69</f>
        <v>Bloque Barrio</v>
      </c>
      <c r="E18" s="19" t="str">
        <f>'Seguimiento Julio 2024'!F69</f>
        <v>Barrios Isabelita/ Los Mameyes 1</v>
      </c>
      <c r="F18" s="19" t="str">
        <f>'Seguimiento Julio 2024'!G69</f>
        <v>Barrios Isabelita/ Los Mameyes 1</v>
      </c>
      <c r="G18" s="27" t="str">
        <f>'Seguimiento Julio 2024'!H69</f>
        <v>Detenido</v>
      </c>
      <c r="H18" s="27">
        <f>'Seguimiento Julio 2024'!I69</f>
        <v>0</v>
      </c>
      <c r="I18" s="19" t="str">
        <f>'Seguimiento Julio 2024'!P69</f>
        <v>2DO</v>
      </c>
      <c r="J18" s="16">
        <f>'Seguimiento Julio 2024'!Q69</f>
        <v>0.06</v>
      </c>
      <c r="K18" s="87"/>
      <c r="L18" s="86" t="s">
        <v>541</v>
      </c>
      <c r="M18" s="285" t="s">
        <v>584</v>
      </c>
    </row>
    <row r="19" spans="1:13" ht="47.25" x14ac:dyDescent="0.25">
      <c r="A19" s="112">
        <v>11</v>
      </c>
      <c r="B19" s="22" t="str">
        <f>'Seguimiento Julio 2024'!C70</f>
        <v>Santo Domingo</v>
      </c>
      <c r="C19" s="22" t="str">
        <f>'Seguimiento Julio 2024'!D70</f>
        <v>Santo Domingo Este</v>
      </c>
      <c r="D19" s="22" t="str">
        <f>'Seguimiento Julio 2024'!E70</f>
        <v>Bloque Barrio</v>
      </c>
      <c r="E19" s="22" t="str">
        <f>'Seguimiento Julio 2024'!F70</f>
        <v>El Bonito (Trasladado deade Barrios Isabelita/ Los Mameyes 2)</v>
      </c>
      <c r="F19" s="19" t="str">
        <f>'Seguimiento Julio 2024'!G70</f>
        <v>Ciudad Educativa El Bonito</v>
      </c>
      <c r="G19" s="27" t="str">
        <f>'Seguimiento Julio 2024'!H70</f>
        <v>Detenido pago cubicación</v>
      </c>
      <c r="H19" s="27">
        <f>'Seguimiento Julio 2024'!I70</f>
        <v>0</v>
      </c>
      <c r="I19" s="19" t="str">
        <f>'Seguimiento Julio 2024'!P70</f>
        <v>2DO</v>
      </c>
      <c r="J19" s="16">
        <f>'Seguimiento Julio 2024'!Q70</f>
        <v>0.06</v>
      </c>
      <c r="K19" s="87"/>
      <c r="L19" s="86" t="s">
        <v>541</v>
      </c>
      <c r="M19" s="285" t="s">
        <v>582</v>
      </c>
    </row>
    <row r="20" spans="1:13" ht="47.25" x14ac:dyDescent="0.25">
      <c r="A20" s="88">
        <v>12</v>
      </c>
      <c r="B20" s="22" t="str">
        <f>'Seguimiento Julio 2024'!C71</f>
        <v>Santo Domingo</v>
      </c>
      <c r="C20" s="22" t="str">
        <f>'Seguimiento Julio 2024'!D71</f>
        <v>Santo Domingo Este</v>
      </c>
      <c r="D20" s="22" t="str">
        <f>'Seguimiento Julio 2024'!E71</f>
        <v>Bloque Barrio</v>
      </c>
      <c r="E20" s="19" t="str">
        <f>'Seguimiento Julio 2024'!F71</f>
        <v>* Ciudad Juan Bosch I (Trasladada Desde Mejoramiento Social)</v>
      </c>
      <c r="F20" s="19" t="str">
        <f>'Seguimiento Julio 2024'!G71</f>
        <v>Ciudad Juan Bosch - MS</v>
      </c>
      <c r="G20" s="27" t="str">
        <f>'Seguimiento Julio 2024'!H71</f>
        <v>Inaugurado</v>
      </c>
      <c r="H20" s="27">
        <f>'Seguimiento Julio 2024'!I71</f>
        <v>0</v>
      </c>
      <c r="I20" s="19" t="str">
        <f>'Seguimiento Julio 2024'!P71</f>
        <v>1ER</v>
      </c>
      <c r="J20" s="16">
        <f>'Seguimiento Julio 2024'!Q71</f>
        <v>1</v>
      </c>
      <c r="K20" s="87"/>
      <c r="L20" s="86" t="s">
        <v>541</v>
      </c>
      <c r="M20" s="285" t="s">
        <v>582</v>
      </c>
    </row>
    <row r="21" spans="1:13" ht="47.25" x14ac:dyDescent="0.25">
      <c r="A21" s="71">
        <v>13</v>
      </c>
      <c r="B21" s="22" t="str">
        <f>'Seguimiento Julio 2024'!C72</f>
        <v>Santo Domingo</v>
      </c>
      <c r="C21" s="22" t="str">
        <f>'Seguimiento Julio 2024'!D72</f>
        <v>Santo Domingo Este</v>
      </c>
      <c r="D21" s="22" t="str">
        <f>'Seguimiento Julio 2024'!E72</f>
        <v>Bloque Barrio</v>
      </c>
      <c r="E21" s="19" t="str">
        <f>'Seguimiento Julio 2024'!F72</f>
        <v>* Ciudad Juan Bosch II (Trasladada Desde Villa Francisca)</v>
      </c>
      <c r="F21" s="19" t="str">
        <f>'Seguimiento Julio 2024'!G72</f>
        <v>Ciudad Juan Bosch -VF</v>
      </c>
      <c r="G21" s="27" t="str">
        <f>'Seguimiento Julio 2024'!H72</f>
        <v>Detenido</v>
      </c>
      <c r="H21" s="27">
        <f>'Seguimiento Julio 2024'!I72</f>
        <v>0</v>
      </c>
      <c r="I21" s="19" t="str">
        <f>'Seguimiento Julio 2024'!P72</f>
        <v>1ER</v>
      </c>
      <c r="J21" s="16">
        <f>'Seguimiento Julio 2024'!Q72</f>
        <v>0.54</v>
      </c>
      <c r="K21" s="87"/>
      <c r="L21" s="86" t="s">
        <v>541</v>
      </c>
      <c r="M21" s="285" t="s">
        <v>582</v>
      </c>
    </row>
    <row r="22" spans="1:13" ht="47.25" x14ac:dyDescent="0.25">
      <c r="A22" s="112">
        <v>14</v>
      </c>
      <c r="B22" s="22" t="str">
        <f>'Seguimiento Julio 2024'!C73</f>
        <v>Santo Domingo</v>
      </c>
      <c r="C22" s="22" t="str">
        <f>'Seguimiento Julio 2024'!D73</f>
        <v>Santo Domingo Este</v>
      </c>
      <c r="D22" s="22" t="str">
        <f>'Seguimiento Julio 2024'!E73</f>
        <v>Bloque Barrio</v>
      </c>
      <c r="E22" s="19" t="str">
        <f>'Seguimiento Julio 2024'!F73</f>
        <v>* Ciudad Juan Bosch - III (Trasladada Desde  Maria Auxiliadora)</v>
      </c>
      <c r="F22" s="19" t="str">
        <f>'Seguimiento Julio 2024'!G73</f>
        <v>Ciudad Juan Bosch - MA</v>
      </c>
      <c r="G22" s="27" t="str">
        <f>'Seguimiento Julio 2024'!H73</f>
        <v>Inaugurado</v>
      </c>
      <c r="H22" s="19">
        <f>'Seguimiento Julio 2024'!I73</f>
        <v>0</v>
      </c>
      <c r="I22" s="19" t="str">
        <f>'Seguimiento Julio 2024'!P73</f>
        <v>1ER</v>
      </c>
      <c r="J22" s="16">
        <f>'Seguimiento Julio 2024'!Q73</f>
        <v>1</v>
      </c>
      <c r="K22" s="87"/>
      <c r="L22" s="86" t="s">
        <v>541</v>
      </c>
      <c r="M22" s="285" t="s">
        <v>582</v>
      </c>
    </row>
    <row r="23" spans="1:13" ht="31.5" x14ac:dyDescent="0.25">
      <c r="A23" s="88">
        <v>15</v>
      </c>
      <c r="B23" s="23" t="str">
        <f>'Seguimiento Julio 2024'!C74</f>
        <v>Santo Domingo</v>
      </c>
      <c r="C23" s="23" t="str">
        <f>'Seguimiento Julio 2024'!D74</f>
        <v>Santo Domingo Este</v>
      </c>
      <c r="D23" s="23" t="str">
        <f>'Seguimiento Julio 2024'!E74</f>
        <v>Bloque Barrio</v>
      </c>
      <c r="E23" s="24" t="str">
        <f>'Seguimiento Julio 2024'!F74</f>
        <v>* Ensanche Ozama</v>
      </c>
      <c r="F23" s="24" t="str">
        <f>'Seguimiento Julio 2024'!G74</f>
        <v>Ensanche Ozama</v>
      </c>
      <c r="G23" s="26" t="str">
        <f>'Seguimiento Julio 2024'!H74</f>
        <v>Detenido pago cubicación</v>
      </c>
      <c r="H23" s="26">
        <f>'Seguimiento Julio 2024'!I74</f>
        <v>0</v>
      </c>
      <c r="I23" s="24" t="str">
        <f>'Seguimiento Julio 2024'!P74</f>
        <v>2DO</v>
      </c>
      <c r="J23" s="25">
        <f>'Seguimiento Julio 2024'!Q74</f>
        <v>0.15</v>
      </c>
      <c r="K23" s="90"/>
      <c r="L23" s="86" t="s">
        <v>541</v>
      </c>
      <c r="M23" s="285" t="s">
        <v>584</v>
      </c>
    </row>
    <row r="24" spans="1:13" ht="30.75" customHeight="1" x14ac:dyDescent="0.25">
      <c r="A24" s="71">
        <v>16</v>
      </c>
      <c r="B24" s="106" t="str">
        <f>'Seguimiento Julio 2024'!C75</f>
        <v>Santo Domingo</v>
      </c>
      <c r="C24" s="106" t="str">
        <f>'Seguimiento Julio 2024'!D75</f>
        <v>Santo Domingo Este</v>
      </c>
      <c r="D24" s="106" t="str">
        <f>'Seguimiento Julio 2024'!E75</f>
        <v>Bloque Barrio</v>
      </c>
      <c r="E24" s="109" t="str">
        <f>'Seguimiento Julio 2024'!F75</f>
        <v>* Ensanche Alma Rosa</v>
      </c>
      <c r="F24" s="109" t="str">
        <f>'Seguimiento Julio 2024'!G75</f>
        <v>Ensanche Alma Rosa</v>
      </c>
      <c r="G24" s="109" t="str">
        <f>'Seguimiento Julio 2024'!H75</f>
        <v>En Construcción</v>
      </c>
      <c r="H24" s="109">
        <f>'Seguimiento Julio 2024'!I75</f>
        <v>0</v>
      </c>
      <c r="I24" s="109" t="str">
        <f>'Seguimiento Julio 2024'!P75</f>
        <v>2DO</v>
      </c>
      <c r="J24" s="107">
        <f>'Seguimiento Julio 2024'!Q75</f>
        <v>0.6</v>
      </c>
      <c r="K24" s="86"/>
      <c r="L24" s="86" t="s">
        <v>541</v>
      </c>
      <c r="M24" s="285" t="s">
        <v>584</v>
      </c>
    </row>
    <row r="25" spans="1:13" ht="15.75" x14ac:dyDescent="0.25">
      <c r="A25" s="112">
        <v>17</v>
      </c>
      <c r="B25" s="22" t="str">
        <f>'Seguimiento Julio 2024'!C76</f>
        <v>Santo Domingo</v>
      </c>
      <c r="C25" s="22" t="str">
        <f>'Seguimiento Julio 2024'!D76</f>
        <v>Santo Domingo Este</v>
      </c>
      <c r="D25" s="22" t="str">
        <f>'Seguimiento Julio 2024'!E76</f>
        <v>Bloque Barrio</v>
      </c>
      <c r="E25" s="19" t="str">
        <f>'Seguimiento Julio 2024'!F76</f>
        <v>* Mendoza</v>
      </c>
      <c r="F25" s="19" t="str">
        <f>'Seguimiento Julio 2024'!G76</f>
        <v>Mendoza</v>
      </c>
      <c r="G25" s="19" t="str">
        <f>'Seguimiento Julio 2024'!H76</f>
        <v>Detenido</v>
      </c>
      <c r="H25" s="19">
        <f>'Seguimiento Julio 2024'!I76</f>
        <v>0</v>
      </c>
      <c r="I25" s="19" t="str">
        <f>'Seguimiento Julio 2024'!P76</f>
        <v>2DO</v>
      </c>
      <c r="J25" s="16">
        <f>'Seguimiento Julio 2024'!Q76</f>
        <v>0.06</v>
      </c>
      <c r="K25" s="88"/>
      <c r="L25" s="86" t="s">
        <v>541</v>
      </c>
      <c r="M25" s="284" t="s">
        <v>584</v>
      </c>
    </row>
    <row r="26" spans="1:13" ht="31.5" x14ac:dyDescent="0.25">
      <c r="A26" s="88">
        <v>18</v>
      </c>
      <c r="B26" s="29" t="str">
        <f>'Seguimiento Julio 2024'!C77</f>
        <v>Santo Domingo</v>
      </c>
      <c r="C26" s="29" t="str">
        <f>'Seguimiento Julio 2024'!D77</f>
        <v>Santo Domingo Este</v>
      </c>
      <c r="D26" s="29" t="str">
        <f>'Seguimiento Julio 2024'!E77</f>
        <v>Bloque Barrio</v>
      </c>
      <c r="E26" s="28" t="str">
        <f>'Seguimiento Julio 2024'!F77</f>
        <v>Los Mina Norte ( Los Mina Sur)</v>
      </c>
      <c r="F26" s="28" t="str">
        <f>'Seguimiento Julio 2024'!G77</f>
        <v>Los Mina Sur</v>
      </c>
      <c r="G26" s="28" t="str">
        <f>'Seguimiento Julio 2024'!H77</f>
        <v>Detenido pago cubicación</v>
      </c>
      <c r="H26" s="28">
        <f>'Seguimiento Julio 2024'!I77</f>
        <v>0</v>
      </c>
      <c r="I26" s="28" t="str">
        <f>'Seguimiento Julio 2024'!P77</f>
        <v>1ER</v>
      </c>
      <c r="J26" s="30">
        <f>'Seguimiento Julio 2024'!Q77</f>
        <v>0.83</v>
      </c>
      <c r="K26" s="88"/>
      <c r="L26" s="86" t="s">
        <v>541</v>
      </c>
      <c r="M26" s="284" t="s">
        <v>583</v>
      </c>
    </row>
    <row r="27" spans="1:13" ht="15.75" x14ac:dyDescent="0.25">
      <c r="A27" s="71">
        <v>19</v>
      </c>
      <c r="B27" s="22" t="str">
        <f>'Seguimiento Julio 2024'!C78</f>
        <v>Santo Domingo</v>
      </c>
      <c r="C27" s="22" t="str">
        <f>'Seguimiento Julio 2024'!D78</f>
        <v>Santo Domingo Este</v>
      </c>
      <c r="D27" s="22" t="str">
        <f>'Seguimiento Julio 2024'!E78</f>
        <v>Bloque Barrio</v>
      </c>
      <c r="E27" s="19" t="str">
        <f>'Seguimiento Julio 2024'!F78</f>
        <v>Los Mina 1</v>
      </c>
      <c r="F27" s="277" t="str">
        <f>'Seguimiento Julio 2024'!G78</f>
        <v>Los Mina Norte</v>
      </c>
      <c r="G27" s="19" t="str">
        <f>'Seguimiento Julio 2024'!H78</f>
        <v>Inaugurado</v>
      </c>
      <c r="H27" s="19">
        <f>'Seguimiento Julio 2024'!I78</f>
        <v>0</v>
      </c>
      <c r="I27" s="19" t="str">
        <f>'Seguimiento Julio 2024'!P78</f>
        <v>2DO</v>
      </c>
      <c r="J27" s="16">
        <f>'Seguimiento Julio 2024'!Q78</f>
        <v>1</v>
      </c>
      <c r="K27" s="88"/>
      <c r="L27" s="86" t="s">
        <v>541</v>
      </c>
      <c r="M27" s="285" t="s">
        <v>583</v>
      </c>
    </row>
    <row r="28" spans="1:13" ht="15.75" x14ac:dyDescent="0.25">
      <c r="A28" s="112">
        <v>20</v>
      </c>
      <c r="B28" s="22" t="str">
        <f>'Seguimiento Julio 2024'!C79</f>
        <v>Santo Domingo</v>
      </c>
      <c r="C28" s="22" t="str">
        <f>'Seguimiento Julio 2024'!D79</f>
        <v>Santo Domingo Este</v>
      </c>
      <c r="D28" s="22" t="str">
        <f>'Seguimiento Julio 2024'!E79</f>
        <v>Bloque Barrio</v>
      </c>
      <c r="E28" s="19" t="str">
        <f>'Seguimiento Julio 2024'!F79</f>
        <v>Los Mina 2</v>
      </c>
      <c r="F28" s="19" t="str">
        <f>'Seguimiento Julio 2024'!G79</f>
        <v>Los Mina Sur</v>
      </c>
      <c r="G28" s="19" t="str">
        <f>'Seguimiento Julio 2024'!H79</f>
        <v>Detenido por planos</v>
      </c>
      <c r="H28" s="19">
        <f>'Seguimiento Julio 2024'!I79</f>
        <v>0</v>
      </c>
      <c r="I28" s="19" t="str">
        <f>'Seguimiento Julio 2024'!P79</f>
        <v>2DO</v>
      </c>
      <c r="J28" s="16">
        <f>'Seguimiento Julio 2024'!Q79</f>
        <v>0</v>
      </c>
      <c r="K28" s="88"/>
      <c r="L28" s="86" t="s">
        <v>541</v>
      </c>
      <c r="M28" s="285" t="s">
        <v>583</v>
      </c>
    </row>
    <row r="29" spans="1:13" ht="31.5" x14ac:dyDescent="0.25">
      <c r="A29" s="88">
        <v>21</v>
      </c>
      <c r="B29" s="22" t="str">
        <f>'Seguimiento Julio 2024'!C80</f>
        <v>Santo Domingo</v>
      </c>
      <c r="C29" s="22" t="str">
        <f>'Seguimiento Julio 2024'!D80</f>
        <v>Santo Domingo Este</v>
      </c>
      <c r="D29" s="22" t="str">
        <f>'Seguimiento Julio 2024'!E80</f>
        <v>Bloque Barrio</v>
      </c>
      <c r="E29" s="19" t="str">
        <f>'Seguimiento Julio 2024'!F80</f>
        <v>Los Tres Brazos</v>
      </c>
      <c r="F29" s="19" t="str">
        <f>'Seguimiento Julio 2024'!G80</f>
        <v>Calle Salmo próximo al Matadero</v>
      </c>
      <c r="G29" s="19" t="str">
        <f>'Seguimiento Julio 2024'!H80</f>
        <v>Inaugurado</v>
      </c>
      <c r="H29" s="19">
        <f>'Seguimiento Julio 2024'!I80</f>
        <v>0</v>
      </c>
      <c r="I29" s="19" t="str">
        <f>'Seguimiento Julio 2024'!P80</f>
        <v>1ER</v>
      </c>
      <c r="J29" s="16">
        <f>'Seguimiento Julio 2024'!Q80</f>
        <v>1</v>
      </c>
      <c r="K29" s="88"/>
      <c r="L29" s="86" t="s">
        <v>541</v>
      </c>
      <c r="M29" s="285" t="s">
        <v>583</v>
      </c>
    </row>
    <row r="30" spans="1:13" ht="31.5" x14ac:dyDescent="0.25">
      <c r="A30" s="71">
        <v>22</v>
      </c>
      <c r="B30" s="96" t="str">
        <f>'Seguimiento Julio 2024'!C81</f>
        <v>Santo Domingo</v>
      </c>
      <c r="C30" s="96" t="str">
        <f>'Seguimiento Julio 2024'!D81</f>
        <v>Santo Domingo Este</v>
      </c>
      <c r="D30" s="96" t="str">
        <f>'Seguimiento Julio 2024'!E81</f>
        <v>Bloque Barrio</v>
      </c>
      <c r="E30" s="97" t="str">
        <f>'Seguimiento Julio 2024'!F81</f>
        <v>Los Tres Brazos 1</v>
      </c>
      <c r="F30" s="97" t="str">
        <f>'Seguimiento Julio 2024'!G81</f>
        <v>Barrio Santo Tomás de Aquino</v>
      </c>
      <c r="G30" s="97" t="str">
        <f>'Seguimiento Julio 2024'!H81</f>
        <v>Sin Iniciar</v>
      </c>
      <c r="H30" s="97" t="str">
        <f>'Seguimiento Julio 2024'!I81</f>
        <v xml:space="preserve">Sin Propuesta </v>
      </c>
      <c r="I30" s="97" t="str">
        <f>'Seguimiento Julio 2024'!P81</f>
        <v>2DO</v>
      </c>
      <c r="J30" s="99">
        <f>'Seguimiento Julio 2024'!Q81</f>
        <v>0</v>
      </c>
      <c r="K30" s="92"/>
      <c r="L30" s="86" t="s">
        <v>541</v>
      </c>
      <c r="M30" s="285" t="s">
        <v>583</v>
      </c>
    </row>
    <row r="31" spans="1:13" ht="27" customHeight="1" x14ac:dyDescent="0.25">
      <c r="A31" s="112">
        <v>23</v>
      </c>
      <c r="B31" s="22" t="str">
        <f>'Seguimiento Julio 2024'!C82</f>
        <v>Santo Domingo</v>
      </c>
      <c r="C31" s="22" t="str">
        <f>'Seguimiento Julio 2024'!D82</f>
        <v>Santo Domingo Este</v>
      </c>
      <c r="D31" s="22" t="str">
        <f>'Seguimiento Julio 2024'!E82</f>
        <v>Bloque Barrio</v>
      </c>
      <c r="E31" s="19" t="str">
        <f>'Seguimiento Julio 2024'!F82</f>
        <v>Los Tres Brazos 2</v>
      </c>
      <c r="F31" s="19" t="str">
        <f>'Seguimiento Julio 2024'!G82</f>
        <v>Barrio Jardines Del Ozama</v>
      </c>
      <c r="G31" s="19" t="str">
        <f>'Seguimiento Julio 2024'!H82</f>
        <v>Sin Iniciar</v>
      </c>
      <c r="H31" s="19" t="str">
        <f>'Seguimiento Julio 2024'!I82</f>
        <v xml:space="preserve">Sin Propuesta </v>
      </c>
      <c r="I31" s="19" t="str">
        <f>'Seguimiento Julio 2024'!P82</f>
        <v>2DO</v>
      </c>
      <c r="J31" s="16">
        <f>'Seguimiento Julio 2024'!Q82</f>
        <v>0</v>
      </c>
      <c r="K31" s="87"/>
      <c r="L31" s="86" t="s">
        <v>541</v>
      </c>
      <c r="M31" s="285" t="s">
        <v>583</v>
      </c>
    </row>
    <row r="32" spans="1:13" ht="63" x14ac:dyDescent="0.25">
      <c r="A32" s="88">
        <v>24</v>
      </c>
      <c r="B32" s="29" t="str">
        <f>'Seguimiento Julio 2024'!C83</f>
        <v>Santo Domingo</v>
      </c>
      <c r="C32" s="29" t="str">
        <f>'Seguimiento Julio 2024'!D83</f>
        <v>Santo Domingo Este</v>
      </c>
      <c r="D32" s="29" t="str">
        <f>'Seguimiento Julio 2024'!E83</f>
        <v>Bloque Barrio</v>
      </c>
      <c r="E32" s="29" t="str">
        <f>'Seguimiento Julio 2024'!F83</f>
        <v>Brisas del Este, SDE (Trasladada desde Herrera - La Altagracia 1)</v>
      </c>
      <c r="F32" s="29" t="str">
        <f>'Seguimiento Julio 2024'!G83</f>
        <v xml:space="preserve">Brisas del Este, SDE </v>
      </c>
      <c r="G32" s="29" t="str">
        <f>'Seguimiento Julio 2024'!H83</f>
        <v>Detenido pago terreno</v>
      </c>
      <c r="H32" s="22">
        <f>'Seguimiento Julio 2024'!I83</f>
        <v>0</v>
      </c>
      <c r="I32" s="29" t="str">
        <f>'Seguimiento Julio 2024'!P83</f>
        <v>2DO</v>
      </c>
      <c r="J32" s="30">
        <f>'Seguimiento Julio 2024'!Q83</f>
        <v>0</v>
      </c>
      <c r="K32" s="87"/>
      <c r="L32" s="86" t="s">
        <v>541</v>
      </c>
      <c r="M32" s="285" t="s">
        <v>582</v>
      </c>
    </row>
    <row r="33" spans="1:13" ht="47.25" x14ac:dyDescent="0.25">
      <c r="A33" s="71">
        <v>25</v>
      </c>
      <c r="B33" s="22" t="str">
        <f>'Seguimiento Julio 2024'!C84</f>
        <v>Santo Domingo</v>
      </c>
      <c r="C33" s="22" t="str">
        <f>'Seguimiento Julio 2024'!D84</f>
        <v xml:space="preserve">Santo Domingo Este </v>
      </c>
      <c r="D33" s="22" t="str">
        <f>'Seguimiento Julio 2024'!E84</f>
        <v>Bloque Barrio</v>
      </c>
      <c r="E33" s="22" t="str">
        <f>'Seguimiento Julio 2024'!F84</f>
        <v>Base Aérea San Isidro (Trasladada desde Urb. Primaveral)</v>
      </c>
      <c r="F33" s="275" t="str">
        <f>'Seguimiento Julio 2024'!G84</f>
        <v>Base Aérea San Isidro</v>
      </c>
      <c r="G33" s="22" t="str">
        <f>'Seguimiento Julio 2024'!H84</f>
        <v>Detenido</v>
      </c>
      <c r="H33" s="22">
        <f>'Seguimiento Julio 2024'!I84</f>
        <v>0</v>
      </c>
      <c r="I33" s="22" t="str">
        <f>'Seguimiento Julio 2024'!P84</f>
        <v>2DO</v>
      </c>
      <c r="J33" s="16">
        <f>'Seguimiento Julio 2024'!Q84</f>
        <v>0</v>
      </c>
      <c r="K33" s="87"/>
      <c r="L33" s="86" t="s">
        <v>541</v>
      </c>
      <c r="M33" s="285" t="s">
        <v>582</v>
      </c>
    </row>
    <row r="34" spans="1:13" ht="15.75" x14ac:dyDescent="0.25">
      <c r="A34" s="112">
        <v>26</v>
      </c>
      <c r="B34" s="22" t="str">
        <f>'Seguimiento Julio 2024'!C85</f>
        <v>Santo Domingo</v>
      </c>
      <c r="C34" s="22" t="str">
        <f>'Seguimiento Julio 2024'!D85</f>
        <v>Santo Domingo Este</v>
      </c>
      <c r="D34" s="22" t="str">
        <f>'Seguimiento Julio 2024'!E85</f>
        <v>Bloque Barrio</v>
      </c>
      <c r="E34" s="19" t="str">
        <f>'Seguimiento Julio 2024'!F85</f>
        <v>El Almirante</v>
      </c>
      <c r="F34" s="277" t="str">
        <f>'Seguimiento Julio 2024'!G85</f>
        <v>Calle La Pista, Zona 2</v>
      </c>
      <c r="G34" s="19" t="str">
        <f>'Seguimiento Julio 2024'!H85</f>
        <v>Inaugurado</v>
      </c>
      <c r="H34" s="19">
        <f>'Seguimiento Julio 2024'!I85</f>
        <v>0</v>
      </c>
      <c r="I34" s="19" t="str">
        <f>'Seguimiento Julio 2024'!P85</f>
        <v>1ER</v>
      </c>
      <c r="J34" s="16">
        <f>'Seguimiento Julio 2024'!Q85</f>
        <v>1</v>
      </c>
      <c r="K34" s="87"/>
      <c r="L34" s="86" t="s">
        <v>541</v>
      </c>
      <c r="M34" s="285" t="s">
        <v>582</v>
      </c>
    </row>
    <row r="35" spans="1:13" ht="15.75" x14ac:dyDescent="0.25">
      <c r="A35" s="88">
        <v>27</v>
      </c>
      <c r="B35" s="22" t="str">
        <f>'Seguimiento Julio 2024'!C86</f>
        <v>Santo Domingo</v>
      </c>
      <c r="C35" s="22" t="str">
        <f>'Seguimiento Julio 2024'!D86</f>
        <v>Santo Domingo Este</v>
      </c>
      <c r="D35" s="22" t="str">
        <f>'Seguimiento Julio 2024'!E86</f>
        <v>Bloque Barrio</v>
      </c>
      <c r="E35" s="22" t="str">
        <f>'Seguimiento Julio 2024'!F86</f>
        <v>El Almirante 1</v>
      </c>
      <c r="F35" s="277" t="str">
        <f>'Seguimiento Julio 2024'!G86</f>
        <v>Barrio Villa Esfuerzo</v>
      </c>
      <c r="G35" s="22" t="str">
        <f>'Seguimiento Julio 2024'!H86</f>
        <v>Detenido</v>
      </c>
      <c r="H35" s="22">
        <f>'Seguimiento Julio 2024'!I86</f>
        <v>0</v>
      </c>
      <c r="I35" s="22" t="str">
        <f>'Seguimiento Julio 2024'!P86</f>
        <v>2DO</v>
      </c>
      <c r="J35" s="16">
        <f>'Seguimiento Julio 2024'!Q86</f>
        <v>0.71</v>
      </c>
      <c r="K35" s="87"/>
      <c r="L35" s="86" t="s">
        <v>541</v>
      </c>
      <c r="M35" s="285" t="s">
        <v>582</v>
      </c>
    </row>
    <row r="36" spans="1:13" ht="47.25" x14ac:dyDescent="0.25">
      <c r="A36" s="71">
        <v>28</v>
      </c>
      <c r="B36" s="22" t="str">
        <f>'Seguimiento Julio 2024'!C87</f>
        <v>Santo Domingo</v>
      </c>
      <c r="C36" s="22" t="str">
        <f>'Seguimiento Julio 2024'!D87</f>
        <v>Santo Domingo Este</v>
      </c>
      <c r="D36" s="22" t="str">
        <f>'Seguimiento Julio 2024'!E87</f>
        <v>Bloque Barrio</v>
      </c>
      <c r="E36" s="22" t="str">
        <f>'Seguimiento Julio 2024'!F87</f>
        <v>Villa Liberación (Trasladada desde Almirante 2)</v>
      </c>
      <c r="F36" s="275" t="str">
        <f>'Seguimiento Julio 2024'!G87</f>
        <v xml:space="preserve"> Villa Liberación</v>
      </c>
      <c r="G36" s="22" t="str">
        <f>'Seguimiento Julio 2024'!H87</f>
        <v>Detenido pago cubicación</v>
      </c>
      <c r="H36" s="22">
        <f>'Seguimiento Julio 2024'!I87</f>
        <v>0</v>
      </c>
      <c r="I36" s="22" t="str">
        <f>'Seguimiento Julio 2024'!P87</f>
        <v>2DO</v>
      </c>
      <c r="J36" s="16">
        <f>'Seguimiento Julio 2024'!Q87</f>
        <v>0.27</v>
      </c>
      <c r="K36" s="87"/>
      <c r="L36" s="86" t="s">
        <v>541</v>
      </c>
      <c r="M36" s="285" t="s">
        <v>582</v>
      </c>
    </row>
    <row r="37" spans="1:13" ht="15.75" x14ac:dyDescent="0.25">
      <c r="A37" s="112">
        <v>29</v>
      </c>
      <c r="B37" s="22" t="str">
        <f>'Seguimiento Julio 2024'!C88</f>
        <v>Santo Domingo</v>
      </c>
      <c r="C37" s="22" t="str">
        <f>'Seguimiento Julio 2024'!D88</f>
        <v>Santo Domingo Este</v>
      </c>
      <c r="D37" s="22" t="str">
        <f>'Seguimiento Julio 2024'!E88</f>
        <v>Bloque Barrio</v>
      </c>
      <c r="E37" s="22" t="str">
        <f>'Seguimiento Julio 2024'!F88</f>
        <v>El Almirante 3</v>
      </c>
      <c r="F37" s="22" t="str">
        <f>'Seguimiento Julio 2024'!G88</f>
        <v>Barrio La Toronja</v>
      </c>
      <c r="G37" s="139" t="str">
        <f>'Seguimiento Julio 2024'!H88</f>
        <v>Inaugurado</v>
      </c>
      <c r="H37" s="22">
        <f>'Seguimiento Julio 2024'!I88</f>
        <v>0</v>
      </c>
      <c r="I37" s="22" t="str">
        <f>'Seguimiento Julio 2024'!P88</f>
        <v>2DO</v>
      </c>
      <c r="J37" s="16">
        <f>'Seguimiento Julio 2024'!Q88</f>
        <v>1</v>
      </c>
      <c r="K37" s="87"/>
      <c r="L37" s="86" t="s">
        <v>541</v>
      </c>
      <c r="M37" s="285" t="s">
        <v>582</v>
      </c>
    </row>
    <row r="38" spans="1:13" ht="31.5" x14ac:dyDescent="0.25">
      <c r="A38" s="88">
        <v>30</v>
      </c>
      <c r="B38" s="22" t="str">
        <f>'Seguimiento Julio 2024'!C89</f>
        <v>Santo Domingo</v>
      </c>
      <c r="C38" s="22" t="str">
        <f>'Seguimiento Julio 2024'!D89</f>
        <v>Santo Domingo Este</v>
      </c>
      <c r="D38" s="22" t="str">
        <f>'Seguimiento Julio 2024'!E89</f>
        <v>Bloque Barrio</v>
      </c>
      <c r="E38" s="22" t="str">
        <f>'Seguimiento Julio 2024'!F89</f>
        <v>Villa Liberación / El Tamarindo</v>
      </c>
      <c r="F38" s="22" t="str">
        <f>'Seguimiento Julio 2024'!G89</f>
        <v>Villa Liberación/El Tamarindo</v>
      </c>
      <c r="G38" s="139" t="str">
        <f>'Seguimiento Julio 2024'!H89</f>
        <v>En Construcción</v>
      </c>
      <c r="H38" s="22">
        <f>'Seguimiento Julio 2024'!I89</f>
        <v>0</v>
      </c>
      <c r="I38" s="22" t="str">
        <f>'Seguimiento Julio 2024'!P89</f>
        <v>2DO</v>
      </c>
      <c r="J38" s="16">
        <f>'Seguimiento Julio 2024'!Q89</f>
        <v>0.65</v>
      </c>
      <c r="K38" s="87"/>
      <c r="L38" s="86" t="s">
        <v>541</v>
      </c>
      <c r="M38" s="285" t="s">
        <v>582</v>
      </c>
    </row>
    <row r="39" spans="1:13" ht="31.5" x14ac:dyDescent="0.25">
      <c r="A39" s="71">
        <v>31</v>
      </c>
      <c r="B39" s="22" t="str">
        <f>'Seguimiento Julio 2024'!C90</f>
        <v>Santo Domingo</v>
      </c>
      <c r="C39" s="22" t="str">
        <f>'Seguimiento Julio 2024'!D90</f>
        <v>Santo Domingo Este</v>
      </c>
      <c r="D39" s="22" t="str">
        <f>'Seguimiento Julio 2024'!E90</f>
        <v>Bloque Barrio</v>
      </c>
      <c r="E39" s="22" t="str">
        <f>'Seguimiento Julio 2024'!F90</f>
        <v>* Lucerna (Reubicada desde Cancino Adentro)</v>
      </c>
      <c r="F39" s="22" t="str">
        <f>'Seguimiento Julio 2024'!G90</f>
        <v>Lucerna, Detrás de Plaza Lama</v>
      </c>
      <c r="G39" s="22" t="str">
        <f>'Seguimiento Julio 2024'!H90</f>
        <v>Inaugurado</v>
      </c>
      <c r="H39" s="22">
        <f>'Seguimiento Julio 2024'!I90</f>
        <v>0</v>
      </c>
      <c r="I39" s="22" t="str">
        <f>'Seguimiento Julio 2024'!P90</f>
        <v>2DO</v>
      </c>
      <c r="J39" s="16">
        <f>'Seguimiento Julio 2024'!Q90</f>
        <v>1</v>
      </c>
      <c r="K39" s="87"/>
      <c r="L39" s="86" t="s">
        <v>541</v>
      </c>
      <c r="M39" s="285" t="s">
        <v>583</v>
      </c>
    </row>
    <row r="40" spans="1:13" ht="47.25" x14ac:dyDescent="0.25">
      <c r="A40" s="112">
        <v>32</v>
      </c>
      <c r="B40" s="22" t="str">
        <f>'Seguimiento Julio 2024'!C91</f>
        <v>Santo Domingo</v>
      </c>
      <c r="C40" s="22" t="str">
        <f>'Seguimiento Julio 2024'!D91</f>
        <v>Santo Domingo Este</v>
      </c>
      <c r="D40" s="22" t="str">
        <f>'Seguimiento Julio 2024'!E91</f>
        <v>Bloque Barrio</v>
      </c>
      <c r="E40" s="19" t="str">
        <f>'Seguimiento Julio 2024'!F91</f>
        <v>Cancino Adentro, SDE (Trasladada desde Maria Auxiliadora)</v>
      </c>
      <c r="F40" s="19" t="str">
        <f>'Seguimiento Julio 2024'!G91</f>
        <v xml:space="preserve">Cancino Adentro, SDE </v>
      </c>
      <c r="G40" s="19" t="str">
        <f>'Seguimiento Julio 2024'!H91</f>
        <v>Detenido por planos</v>
      </c>
      <c r="H40" s="19">
        <f>'Seguimiento Julio 2024'!I91</f>
        <v>0</v>
      </c>
      <c r="I40" s="19" t="str">
        <f>'Seguimiento Julio 2024'!P91</f>
        <v>2DO</v>
      </c>
      <c r="J40" s="16">
        <f>'Seguimiento Julio 2024'!Q91</f>
        <v>0.03</v>
      </c>
      <c r="K40" s="87"/>
      <c r="L40" s="86" t="s">
        <v>541</v>
      </c>
      <c r="M40" s="285" t="s">
        <v>582</v>
      </c>
    </row>
    <row r="41" spans="1:13" ht="47.25" x14ac:dyDescent="0.25">
      <c r="A41" s="88">
        <v>33</v>
      </c>
      <c r="B41" s="22" t="str">
        <f>'Seguimiento Julio 2024'!C92</f>
        <v>Santo Domingo</v>
      </c>
      <c r="C41" s="22" t="str">
        <f>'Seguimiento Julio 2024'!D92</f>
        <v>Santo Domingo Este</v>
      </c>
      <c r="D41" s="22" t="str">
        <f>'Seguimiento Julio 2024'!E92</f>
        <v>Santo Domingo Este</v>
      </c>
      <c r="E41" s="22" t="str">
        <f>'Seguimiento Julio 2024'!F92</f>
        <v>San Vicente (Trasladada desde La Altagracia 2/Sto Dgo</v>
      </c>
      <c r="F41" s="22" t="str">
        <f>'Seguimiento Julio 2024'!G92</f>
        <v>San Vicente de Paul 1 (Megacentro)</v>
      </c>
      <c r="G41" s="22" t="str">
        <f>'Seguimiento Julio 2024'!H92</f>
        <v>Inaugurado</v>
      </c>
      <c r="H41" s="22">
        <f>'Seguimiento Julio 2024'!I92</f>
        <v>0</v>
      </c>
      <c r="I41" s="22" t="str">
        <f>'Seguimiento Julio 2024'!P92</f>
        <v>2DO</v>
      </c>
      <c r="J41" s="16">
        <f>'Seguimiento Julio 2024'!Q92</f>
        <v>1</v>
      </c>
      <c r="K41" s="87"/>
      <c r="L41" s="86" t="s">
        <v>541</v>
      </c>
      <c r="M41" s="285" t="s">
        <v>583</v>
      </c>
    </row>
    <row r="42" spans="1:13" ht="47.25" x14ac:dyDescent="0.25">
      <c r="A42" s="71">
        <v>34</v>
      </c>
      <c r="B42" s="96" t="str">
        <f>'Seguimiento Julio 2024'!C93</f>
        <v>Santo Domingo</v>
      </c>
      <c r="C42" s="96" t="str">
        <f>'Seguimiento Julio 2024'!D93</f>
        <v>Santo Domingo Este</v>
      </c>
      <c r="D42" s="96" t="str">
        <f>'Seguimiento Julio 2024'!E93</f>
        <v>Bloque Barrio</v>
      </c>
      <c r="E42" s="96" t="str">
        <f>'Seguimiento Julio 2024'!F93</f>
        <v>San Vicente de Paul 2 (Trasladada desde Los Km. Carretera Sánchez)</v>
      </c>
      <c r="F42" s="96" t="str">
        <f>'Seguimiento Julio 2024'!G93</f>
        <v>San Vicente de Paul 2 (Megacentro)</v>
      </c>
      <c r="G42" s="96" t="str">
        <f>'Seguimiento Julio 2024'!H93</f>
        <v>Inaugurado</v>
      </c>
      <c r="H42" s="96">
        <f>'Seguimiento Julio 2024'!I93</f>
        <v>0</v>
      </c>
      <c r="I42" s="96" t="str">
        <f>'Seguimiento Julio 2024'!P93</f>
        <v>2DO</v>
      </c>
      <c r="J42" s="99">
        <f>'Seguimiento Julio 2024'!Q93</f>
        <v>1</v>
      </c>
      <c r="K42" s="87"/>
      <c r="L42" s="86" t="s">
        <v>541</v>
      </c>
      <c r="M42" s="285" t="s">
        <v>583</v>
      </c>
    </row>
    <row r="43" spans="1:13" ht="47.25" x14ac:dyDescent="0.25">
      <c r="A43" s="112">
        <v>35</v>
      </c>
      <c r="B43" s="22" t="str">
        <f>'Seguimiento Julio 2024'!C94</f>
        <v>Santo Domingo</v>
      </c>
      <c r="C43" s="22" t="str">
        <f>'Seguimiento Julio 2024'!D94</f>
        <v>Santo Domingo Este</v>
      </c>
      <c r="D43" s="22" t="str">
        <f>'Seguimiento Julio 2024'!E94</f>
        <v>Bloque Barrio</v>
      </c>
      <c r="E43" s="19" t="str">
        <f>'Seguimiento Julio 2024'!F94</f>
        <v>San Luis (trasladada desde Zona Universitaria)</v>
      </c>
      <c r="F43" s="19" t="str">
        <f>'Seguimiento Julio 2024'!G94</f>
        <v>San Luis</v>
      </c>
      <c r="G43" s="19" t="str">
        <f>'Seguimiento Julio 2024'!H94</f>
        <v>Sin Iniciar</v>
      </c>
      <c r="H43" s="19" t="str">
        <f>'Seguimiento Julio 2024'!I94</f>
        <v xml:space="preserve">Con Propuesta de Donación </v>
      </c>
      <c r="I43" s="19" t="str">
        <f>'Seguimiento Julio 2024'!P94</f>
        <v>2DO</v>
      </c>
      <c r="J43" s="16">
        <f>'Seguimiento Julio 2024'!Q94</f>
        <v>0</v>
      </c>
      <c r="K43" s="87"/>
      <c r="L43" s="86" t="s">
        <v>541</v>
      </c>
      <c r="M43" s="285" t="s">
        <v>582</v>
      </c>
    </row>
    <row r="44" spans="1:13" ht="47.25" x14ac:dyDescent="0.25">
      <c r="A44" s="88">
        <v>36</v>
      </c>
      <c r="B44" s="29" t="str">
        <f>'Seguimiento Julio 2024'!C95</f>
        <v>Santo Domingo</v>
      </c>
      <c r="C44" s="29" t="str">
        <f>'Seguimiento Julio 2024'!D95</f>
        <v>Santo Domingo Este</v>
      </c>
      <c r="D44" s="29" t="str">
        <f>'Seguimiento Julio 2024'!E95</f>
        <v>Bloque Barrio</v>
      </c>
      <c r="E44" s="29" t="str">
        <f>'Seguimiento Julio 2024'!F95</f>
        <v>Villa Jerusalem (Trasladada desde Herrera- El Café)</v>
      </c>
      <c r="F44" s="29" t="str">
        <f>'Seguimiento Julio 2024'!G95</f>
        <v xml:space="preserve">Villa Jerusalem </v>
      </c>
      <c r="G44" s="29" t="str">
        <f>'Seguimiento Julio 2024'!H95</f>
        <v>Sin Iniciar</v>
      </c>
      <c r="H44" s="29" t="str">
        <f>'Seguimiento Julio 2024'!I95</f>
        <v xml:space="preserve">Con Propuesta </v>
      </c>
      <c r="I44" s="29" t="str">
        <f>'Seguimiento Julio 2024'!P95</f>
        <v>2DO</v>
      </c>
      <c r="J44" s="30">
        <f>'Seguimiento Julio 2024'!Q95</f>
        <v>0</v>
      </c>
      <c r="K44" s="87"/>
      <c r="L44" s="86" t="s">
        <v>541</v>
      </c>
      <c r="M44" s="285" t="s">
        <v>582</v>
      </c>
    </row>
    <row r="45" spans="1:13" ht="47.25" x14ac:dyDescent="0.25">
      <c r="A45" s="71">
        <v>37</v>
      </c>
      <c r="B45" s="22" t="str">
        <f>'Seguimiento Julio 2024'!C96</f>
        <v>Santo Domingo</v>
      </c>
      <c r="C45" s="22" t="str">
        <f>'Seguimiento Julio 2024'!D96</f>
        <v>Santo Domingo Este</v>
      </c>
      <c r="D45" s="22" t="str">
        <f>'Seguimiento Julio 2024'!E96</f>
        <v>Bloque Barrio</v>
      </c>
      <c r="E45" s="22" t="str">
        <f>'Seguimiento Julio 2024'!F96</f>
        <v>Zona Franca San Isidro (Trasladada desde Ens. La Fe)</v>
      </c>
      <c r="F45" s="22" t="str">
        <f>'Seguimiento Julio 2024'!G96</f>
        <v xml:space="preserve">Zona Franca San Isidro </v>
      </c>
      <c r="G45" s="22" t="str">
        <f>'Seguimiento Julio 2024'!H96</f>
        <v>Sin Iniciar</v>
      </c>
      <c r="H45" s="22" t="str">
        <f>'Seguimiento Julio 2024'!I96</f>
        <v xml:space="preserve">Sin Propuesta </v>
      </c>
      <c r="I45" s="22" t="str">
        <f>'Seguimiento Julio 2024'!P96</f>
        <v>2DO</v>
      </c>
      <c r="J45" s="16">
        <f>'Seguimiento Julio 2024'!Q96</f>
        <v>0</v>
      </c>
      <c r="K45" s="87"/>
      <c r="L45" s="88" t="s">
        <v>541</v>
      </c>
      <c r="M45" s="285" t="s">
        <v>582</v>
      </c>
    </row>
    <row r="46" spans="1:13" ht="47.25" x14ac:dyDescent="0.25">
      <c r="A46" s="112">
        <v>38</v>
      </c>
      <c r="B46" s="23" t="str">
        <f>'Seguimiento Julio 2024'!C97</f>
        <v>Santo Domingo</v>
      </c>
      <c r="C46" s="23" t="str">
        <f>'Seguimiento Julio 2024'!D97</f>
        <v>Boca Chica</v>
      </c>
      <c r="D46" s="23" t="str">
        <f>'Seguimiento Julio 2024'!E97</f>
        <v>Bloque Barrio</v>
      </c>
      <c r="E46" s="23" t="str">
        <f>'Seguimiento Julio 2024'!F97</f>
        <v>Zona Franca DW World Caudedo (Trasladada desde Ens. Quisqueya)</v>
      </c>
      <c r="F46" s="23" t="str">
        <f>'Seguimiento Julio 2024'!G97</f>
        <v>Zona Franca DW World Caudedo</v>
      </c>
      <c r="G46" s="23" t="str">
        <f>'Seguimiento Julio 2024'!H97</f>
        <v>Sin Iniciar</v>
      </c>
      <c r="H46" s="23" t="str">
        <f>'Seguimiento Julio 2024'!I97</f>
        <v xml:space="preserve">Sin Propuesta </v>
      </c>
      <c r="I46" s="23" t="str">
        <f>'Seguimiento Julio 2024'!P97</f>
        <v>2DO</v>
      </c>
      <c r="J46" s="25">
        <f>'Seguimiento Julio 2024'!Q97</f>
        <v>0</v>
      </c>
      <c r="K46" s="89"/>
      <c r="L46" s="90" t="s">
        <v>539</v>
      </c>
      <c r="M46" s="284"/>
    </row>
    <row r="47" spans="1:13" ht="47.25" x14ac:dyDescent="0.25">
      <c r="A47" s="88">
        <v>39</v>
      </c>
      <c r="B47" s="106" t="str">
        <f>'Seguimiento Julio 2024'!C98</f>
        <v>Santo Domingo</v>
      </c>
      <c r="C47" s="106" t="str">
        <f>'Seguimiento Julio 2024'!D98</f>
        <v>Santo Domingo Este</v>
      </c>
      <c r="D47" s="106" t="str">
        <f>'Seguimiento Julio 2024'!E98</f>
        <v>Bloque Barrio</v>
      </c>
      <c r="E47" s="106" t="str">
        <f>'Seguimiento Julio 2024'!F98</f>
        <v>Los Frailes 1 o 2 (Trasladada desde Ensanche Luperón)</v>
      </c>
      <c r="F47" s="276" t="str">
        <f>'Seguimiento Julio 2024'!G98</f>
        <v xml:space="preserve">Los Frailes 1 o 2 </v>
      </c>
      <c r="G47" s="110" t="str">
        <f>'Seguimiento Julio 2024'!H98</f>
        <v>Sin Iniciar</v>
      </c>
      <c r="H47" s="106" t="str">
        <f>'Seguimiento Julio 2024'!I98</f>
        <v xml:space="preserve">Con Propuesta </v>
      </c>
      <c r="I47" s="106" t="str">
        <f>'Seguimiento Julio 2024'!P98</f>
        <v>2DO</v>
      </c>
      <c r="J47" s="107">
        <f>'Seguimiento Julio 2024'!Q98</f>
        <v>0</v>
      </c>
      <c r="K47" s="86"/>
      <c r="L47" s="88" t="s">
        <v>541</v>
      </c>
      <c r="M47" s="285" t="s">
        <v>582</v>
      </c>
    </row>
    <row r="48" spans="1:13" ht="47.25" x14ac:dyDescent="0.25">
      <c r="A48" s="71">
        <v>40</v>
      </c>
      <c r="B48" s="20" t="str">
        <f>'Seguimiento Julio 2024'!C99</f>
        <v>Santo Domingo</v>
      </c>
      <c r="C48" s="20" t="str">
        <f>'Seguimiento Julio 2024'!D99</f>
        <v>Santo Domingo Este</v>
      </c>
      <c r="D48" s="20" t="str">
        <f>'Seguimiento Julio 2024'!E99</f>
        <v>Bloque Barrio</v>
      </c>
      <c r="E48" s="20" t="str">
        <f>'Seguimiento Julio 2024'!F99</f>
        <v>Aguas Locas -Nuevo Jerusalem (Trasladada desde Capotillo 1)</v>
      </c>
      <c r="F48" s="20" t="str">
        <f>'Seguimiento Julio 2024'!G99</f>
        <v xml:space="preserve">Aguas Locas -Nuevo Jerusalem </v>
      </c>
      <c r="G48" s="93" t="str">
        <f>'Seguimiento Julio 2024'!H99</f>
        <v>Sin Iniciar</v>
      </c>
      <c r="H48" s="93" t="str">
        <f>'Seguimiento Julio 2024'!I99</f>
        <v xml:space="preserve">Con Propuesta de Donación </v>
      </c>
      <c r="I48" s="20" t="str">
        <f>'Seguimiento Julio 2024'!P99</f>
        <v>1ER</v>
      </c>
      <c r="J48" s="80">
        <f>'Seguimiento Julio 2024'!Q99</f>
        <v>0</v>
      </c>
      <c r="K48" s="87"/>
      <c r="L48" s="88" t="s">
        <v>543</v>
      </c>
      <c r="M48" s="285" t="s">
        <v>582</v>
      </c>
    </row>
    <row r="49" spans="1:13" ht="31.5" x14ac:dyDescent="0.25">
      <c r="A49" s="112">
        <v>41</v>
      </c>
      <c r="B49" s="22" t="str">
        <f>'Seguimiento Julio 2024'!C100</f>
        <v>Santo Domingo</v>
      </c>
      <c r="C49" s="22" t="str">
        <f>'Seguimiento Julio 2024'!D100</f>
        <v>San Antonio de Guerra</v>
      </c>
      <c r="D49" s="22" t="str">
        <f>'Seguimiento Julio 2024'!E100</f>
        <v>Municipio Completo</v>
      </c>
      <c r="E49" s="22" t="str">
        <f>'Seguimiento Julio 2024'!F100</f>
        <v>Municipio de Guerra</v>
      </c>
      <c r="F49" s="22" t="str">
        <f>'Seguimiento Julio 2024'!G100</f>
        <v>Centro Zona Urbana</v>
      </c>
      <c r="G49" s="31" t="str">
        <f>'Seguimiento Julio 2024'!H100</f>
        <v>En Construcción</v>
      </c>
      <c r="H49" s="31">
        <f>'Seguimiento Julio 2024'!I100</f>
        <v>0</v>
      </c>
      <c r="I49" s="22" t="str">
        <f>'Seguimiento Julio 2024'!P100</f>
        <v>2DO</v>
      </c>
      <c r="J49" s="16">
        <f>'Seguimiento Julio 2024'!Q100</f>
        <v>0.04</v>
      </c>
      <c r="K49" s="87"/>
      <c r="L49" s="88" t="s">
        <v>542</v>
      </c>
      <c r="M49" s="284"/>
    </row>
    <row r="50" spans="1:13" ht="47.25" x14ac:dyDescent="0.25">
      <c r="A50" s="88">
        <v>42</v>
      </c>
      <c r="B50" s="29" t="str">
        <f>'Seguimiento Julio 2024'!C101</f>
        <v>Santo Domingo</v>
      </c>
      <c r="C50" s="29" t="str">
        <f>'Seguimiento Julio 2024'!D101</f>
        <v>Los Alcarrizos</v>
      </c>
      <c r="D50" s="29" t="str">
        <f>'Seguimiento Julio 2024'!E101</f>
        <v>Municipio Completo</v>
      </c>
      <c r="E50" s="29" t="str">
        <f>'Seguimiento Julio 2024'!F101</f>
        <v>La Fe (Trasladada de Los Alcarrizos Zona Franca)</v>
      </c>
      <c r="F50" s="29" t="str">
        <f>'Seguimiento Julio 2024'!G101</f>
        <v>Calle San Marcos Esq. Anacaona. Proximo A La Capilla San Marcos</v>
      </c>
      <c r="G50" s="114" t="str">
        <f>'Seguimiento Julio 2024'!H101</f>
        <v>Inaugurado</v>
      </c>
      <c r="H50" s="29">
        <f>'Seguimiento Julio 2024'!I101</f>
        <v>0</v>
      </c>
      <c r="I50" s="29" t="str">
        <f>'Seguimiento Julio 2024'!P101</f>
        <v>1ER</v>
      </c>
      <c r="J50" s="30">
        <f>'Seguimiento Julio 2024'!Q101</f>
        <v>1</v>
      </c>
      <c r="K50" s="87"/>
      <c r="L50" s="71" t="s">
        <v>279</v>
      </c>
      <c r="M50" s="284"/>
    </row>
    <row r="51" spans="1:13" ht="31.5" x14ac:dyDescent="0.25">
      <c r="A51" s="71">
        <v>43</v>
      </c>
      <c r="B51" s="22" t="str">
        <f>'Seguimiento Julio 2024'!C102</f>
        <v>Santo Domingo</v>
      </c>
      <c r="C51" s="22" t="str">
        <f>'Seguimiento Julio 2024'!D102</f>
        <v>Los Alcarrizos</v>
      </c>
      <c r="D51" s="22" t="str">
        <f>'Seguimiento Julio 2024'!E102</f>
        <v>Municipio Completo</v>
      </c>
      <c r="E51" s="22" t="str">
        <f>'Seguimiento Julio 2024'!F102</f>
        <v>Redención Pantoja</v>
      </c>
      <c r="F51" s="22" t="str">
        <f>'Seguimiento Julio 2024'!G102</f>
        <v>Carretera La Isabela, Frente Al Cuartel De Los Bomberos</v>
      </c>
      <c r="G51" s="31" t="str">
        <f>'Seguimiento Julio 2024'!H102</f>
        <v>Inaugurado</v>
      </c>
      <c r="H51" s="22">
        <f>'Seguimiento Julio 2024'!I102</f>
        <v>0</v>
      </c>
      <c r="I51" s="22" t="str">
        <f>'Seguimiento Julio 2024'!P102</f>
        <v>1ER</v>
      </c>
      <c r="J51" s="16">
        <f>'Seguimiento Julio 2024'!Q102</f>
        <v>1</v>
      </c>
      <c r="K51" s="87"/>
      <c r="L51" s="71" t="s">
        <v>279</v>
      </c>
      <c r="M51" s="284"/>
    </row>
    <row r="52" spans="1:13" ht="47.25" x14ac:dyDescent="0.25">
      <c r="A52" s="112">
        <v>44</v>
      </c>
      <c r="B52" s="22" t="str">
        <f>'Seguimiento Julio 2024'!C103</f>
        <v>Santo Domingo</v>
      </c>
      <c r="C52" s="22" t="str">
        <f>'Seguimiento Julio 2024'!D103</f>
        <v>Los Alcarrizos</v>
      </c>
      <c r="D52" s="22" t="str">
        <f>'Seguimiento Julio 2024'!E103</f>
        <v>Municipio Completo</v>
      </c>
      <c r="E52" s="22" t="str">
        <f>'Seguimiento Julio 2024'!F103</f>
        <v>Pantoja</v>
      </c>
      <c r="F52" s="22" t="str">
        <f>'Seguimiento Julio 2024'!G103</f>
        <v>Distrito Municipal Pantoja: Barrios Villa Del Palmar-José Contreras</v>
      </c>
      <c r="G52" s="31" t="str">
        <f>'Seguimiento Julio 2024'!H103</f>
        <v>Detenido pago cubicación</v>
      </c>
      <c r="H52" s="22">
        <f>'Seguimiento Julio 2024'!I103</f>
        <v>0</v>
      </c>
      <c r="I52" s="22" t="str">
        <f>'Seguimiento Julio 2024'!P103</f>
        <v>2DO</v>
      </c>
      <c r="J52" s="16">
        <f>'Seguimiento Julio 2024'!Q103</f>
        <v>0.75</v>
      </c>
      <c r="K52" s="87"/>
      <c r="L52" s="71" t="s">
        <v>279</v>
      </c>
      <c r="M52" s="284"/>
    </row>
    <row r="53" spans="1:13" ht="31.5" x14ac:dyDescent="0.25">
      <c r="A53" s="88">
        <v>45</v>
      </c>
      <c r="B53" s="96" t="str">
        <f>'Seguimiento Julio 2024'!C104</f>
        <v>Santo Domingo</v>
      </c>
      <c r="C53" s="96" t="str">
        <f>'Seguimiento Julio 2024'!D104</f>
        <v>Los Alcarrizos</v>
      </c>
      <c r="D53" s="96" t="str">
        <f>'Seguimiento Julio 2024'!E104</f>
        <v>Municipio Completo</v>
      </c>
      <c r="E53" s="96" t="str">
        <f>'Seguimiento Julio 2024'!F104</f>
        <v>La Piña</v>
      </c>
      <c r="F53" s="96" t="str">
        <f>'Seguimiento Julio 2024'!G104</f>
        <v>Calle 22 Entrando Por El Puente Blanco</v>
      </c>
      <c r="G53" s="111" t="str">
        <f>'Seguimiento Julio 2024'!H104</f>
        <v>Detenido pago terreno</v>
      </c>
      <c r="H53" s="111">
        <f>'Seguimiento Julio 2024'!I104</f>
        <v>0</v>
      </c>
      <c r="I53" s="96" t="str">
        <f>'Seguimiento Julio 2024'!P104</f>
        <v>1ER</v>
      </c>
      <c r="J53" s="99">
        <f>'Seguimiento Julio 2024'!Q104</f>
        <v>0.14000000000000001</v>
      </c>
      <c r="K53" s="87"/>
      <c r="L53" s="71" t="s">
        <v>279</v>
      </c>
      <c r="M53" s="284"/>
    </row>
    <row r="54" spans="1:13" ht="31.5" x14ac:dyDescent="0.25">
      <c r="A54" s="71">
        <v>46</v>
      </c>
      <c r="B54" s="22" t="str">
        <f>'Seguimiento Julio 2024'!C105</f>
        <v>Santo Domingo</v>
      </c>
      <c r="C54" s="22" t="str">
        <f>'Seguimiento Julio 2024'!D105</f>
        <v>Los Alcarrizos</v>
      </c>
      <c r="D54" s="22" t="str">
        <f>'Seguimiento Julio 2024'!E105</f>
        <v>Municipio Completo</v>
      </c>
      <c r="E54" s="22" t="str">
        <f>'Seguimiento Julio 2024'!F105</f>
        <v>Los Alcarrizos-La Salida (Landia)</v>
      </c>
      <c r="F54" s="22" t="str">
        <f>'Seguimiento Julio 2024'!G105</f>
        <v>Calle La Vega Bo. Landia</v>
      </c>
      <c r="G54" s="31" t="str">
        <f>'Seguimiento Julio 2024'!H105</f>
        <v>Detenido pago terreno</v>
      </c>
      <c r="H54" s="31">
        <f>'Seguimiento Julio 2024'!I105</f>
        <v>0</v>
      </c>
      <c r="I54" s="22" t="str">
        <f>'Seguimiento Julio 2024'!P105</f>
        <v>1ER</v>
      </c>
      <c r="J54" s="16">
        <f>'Seguimiento Julio 2024'!Q105</f>
        <v>0.21</v>
      </c>
      <c r="K54" s="87"/>
      <c r="L54" s="71" t="s">
        <v>279</v>
      </c>
      <c r="M54" s="284"/>
    </row>
    <row r="55" spans="1:13" ht="31.5" x14ac:dyDescent="0.25">
      <c r="A55" s="112">
        <v>47</v>
      </c>
      <c r="B55" s="29" t="str">
        <f>'Seguimiento Julio 2024'!C106</f>
        <v>Santo Domingo</v>
      </c>
      <c r="C55" s="29" t="str">
        <f>'Seguimiento Julio 2024'!D106</f>
        <v>Los Alcarrizos</v>
      </c>
      <c r="D55" s="29" t="str">
        <f>'Seguimiento Julio 2024'!E106</f>
        <v>Municipio Completo</v>
      </c>
      <c r="E55" s="29" t="str">
        <f>'Seguimiento Julio 2024'!F106</f>
        <v>Alcarrizos 1</v>
      </c>
      <c r="F55" s="29" t="str">
        <f>'Seguimiento Julio 2024'!G106</f>
        <v>Barrio El Chucho</v>
      </c>
      <c r="G55" s="114" t="str">
        <f>'Seguimiento Julio 2024'!H106</f>
        <v>Detenido</v>
      </c>
      <c r="H55" s="114">
        <f>'Seguimiento Julio 2024'!I106</f>
        <v>0</v>
      </c>
      <c r="I55" s="29" t="str">
        <f>'Seguimiento Julio 2024'!P106</f>
        <v>2DO</v>
      </c>
      <c r="J55" s="30">
        <f>'Seguimiento Julio 2024'!Q106</f>
        <v>0</v>
      </c>
      <c r="K55" s="87"/>
      <c r="L55" s="71" t="s">
        <v>279</v>
      </c>
      <c r="M55" s="284"/>
    </row>
    <row r="56" spans="1:13" ht="31.5" x14ac:dyDescent="0.25">
      <c r="A56" s="88">
        <v>48</v>
      </c>
      <c r="B56" s="22" t="str">
        <f>'Seguimiento Julio 2024'!C107</f>
        <v>Santo Domingo</v>
      </c>
      <c r="C56" s="22" t="str">
        <f>'Seguimiento Julio 2024'!D107</f>
        <v>Los Alcarrizos</v>
      </c>
      <c r="D56" s="22" t="str">
        <f>'Seguimiento Julio 2024'!E107</f>
        <v>Municipio Completo</v>
      </c>
      <c r="E56" s="22" t="str">
        <f>'Seguimiento Julio 2024'!F107</f>
        <v>Alcarrizos 2</v>
      </c>
      <c r="F56" s="22" t="str">
        <f>'Seguimiento Julio 2024'!G107</f>
        <v>Barrio Lebroncito</v>
      </c>
      <c r="G56" s="31" t="str">
        <f>'Seguimiento Julio 2024'!H107</f>
        <v>Detenido pago cubicación</v>
      </c>
      <c r="H56" s="22">
        <f>'Seguimiento Julio 2024'!I107</f>
        <v>0</v>
      </c>
      <c r="I56" s="22" t="str">
        <f>'Seguimiento Julio 2024'!P107</f>
        <v>2DO</v>
      </c>
      <c r="J56" s="16">
        <f>'Seguimiento Julio 2024'!Q107</f>
        <v>0.84</v>
      </c>
      <c r="K56" s="87"/>
      <c r="L56" s="71" t="s">
        <v>279</v>
      </c>
      <c r="M56" s="284"/>
    </row>
    <row r="57" spans="1:13" ht="31.5" x14ac:dyDescent="0.25">
      <c r="A57" s="71">
        <v>49</v>
      </c>
      <c r="B57" s="22" t="str">
        <f>'Seguimiento Julio 2024'!C108</f>
        <v>Santo Domingo</v>
      </c>
      <c r="C57" s="22" t="str">
        <f>'Seguimiento Julio 2024'!D108</f>
        <v>Los Alcarrizos</v>
      </c>
      <c r="D57" s="22" t="str">
        <f>'Seguimiento Julio 2024'!E108</f>
        <v>Municipio Completo</v>
      </c>
      <c r="E57" s="22" t="str">
        <f>'Seguimiento Julio 2024'!F108</f>
        <v>Alcarrizos 4</v>
      </c>
      <c r="F57" s="22" t="str">
        <f>'Seguimiento Julio 2024'!G108</f>
        <v>Barrio La Unión</v>
      </c>
      <c r="G57" s="31" t="str">
        <f>'Seguimiento Julio 2024'!H108</f>
        <v>Inaugurado</v>
      </c>
      <c r="H57" s="22">
        <f>'Seguimiento Julio 2024'!I108</f>
        <v>0</v>
      </c>
      <c r="I57" s="22" t="str">
        <f>'Seguimiento Julio 2024'!P108</f>
        <v>2DO</v>
      </c>
      <c r="J57" s="16">
        <f>'Seguimiento Julio 2024'!Q108</f>
        <v>1</v>
      </c>
      <c r="K57" s="87"/>
      <c r="L57" s="71" t="s">
        <v>279</v>
      </c>
      <c r="M57" s="284"/>
    </row>
    <row r="58" spans="1:13" ht="47.25" x14ac:dyDescent="0.25">
      <c r="A58" s="112">
        <v>50</v>
      </c>
      <c r="B58" s="22" t="str">
        <f>'Seguimiento Julio 2024'!C109</f>
        <v>Santo Domingo</v>
      </c>
      <c r="C58" s="22" t="str">
        <f>'Seguimiento Julio 2024'!D109</f>
        <v>Pedro Brand</v>
      </c>
      <c r="D58" s="22" t="str">
        <f>'Seguimiento Julio 2024'!E109</f>
        <v>Municipio Completo</v>
      </c>
      <c r="E58" s="22" t="str">
        <f>'Seguimiento Julio 2024'!F109</f>
        <v>Pedro Brand (Trasladada desde Alcarrizos 3 - Bo. Hato Nuevo)</v>
      </c>
      <c r="F58" s="22" t="str">
        <f>'Seguimiento Julio 2024'!G109</f>
        <v>Pedro Brand</v>
      </c>
      <c r="G58" s="31" t="str">
        <f>'Seguimiento Julio 2024'!H109</f>
        <v>Sin Iniciar</v>
      </c>
      <c r="H58" s="31" t="str">
        <f>'Seguimiento Julio 2024'!I109</f>
        <v xml:space="preserve">Sin Propuesta </v>
      </c>
      <c r="I58" s="22" t="str">
        <f>'Seguimiento Julio 2024'!P109</f>
        <v>2DO</v>
      </c>
      <c r="J58" s="16">
        <f>'Seguimiento Julio 2024'!Q109</f>
        <v>0</v>
      </c>
      <c r="K58" s="87"/>
      <c r="L58" s="22" t="s">
        <v>602</v>
      </c>
      <c r="M58" s="284"/>
    </row>
    <row r="59" spans="1:13" ht="78.75" x14ac:dyDescent="0.25">
      <c r="A59" s="88">
        <v>51</v>
      </c>
      <c r="B59" s="22" t="str">
        <f>'Seguimiento Julio 2024'!C110</f>
        <v>Santo Domingo</v>
      </c>
      <c r="C59" s="22" t="str">
        <f>'Seguimiento Julio 2024'!D110</f>
        <v xml:space="preserve">Santo Domingo Norte </v>
      </c>
      <c r="D59" s="22" t="str">
        <f>'Seguimiento Julio 2024'!E110</f>
        <v>Bloque Barrio</v>
      </c>
      <c r="E59" s="22" t="str">
        <f>'Seguimiento Julio 2024'!F110</f>
        <v>Sabana Perdida I</v>
      </c>
      <c r="F59" s="22" t="str">
        <f>'Seguimiento Julio 2024'!G110</f>
        <v>Prolongación Charles De Gaulle, Entre El Cruce De Sabana Perdida Y El Hospital Traumatologico Ney Arias Lora</v>
      </c>
      <c r="G59" s="31" t="str">
        <f>'Seguimiento Julio 2024'!H110</f>
        <v>Inaugurado</v>
      </c>
      <c r="H59" s="31">
        <f>'Seguimiento Julio 2024'!I110</f>
        <v>0</v>
      </c>
      <c r="I59" s="22" t="str">
        <f>'Seguimiento Julio 2024'!P110</f>
        <v>1ER</v>
      </c>
      <c r="J59" s="16">
        <f>'Seguimiento Julio 2024'!Q110</f>
        <v>1</v>
      </c>
      <c r="K59" s="87"/>
      <c r="L59" s="88" t="s">
        <v>543</v>
      </c>
      <c r="M59" s="284"/>
    </row>
    <row r="60" spans="1:13" ht="31.5" x14ac:dyDescent="0.25">
      <c r="A60" s="71">
        <v>52</v>
      </c>
      <c r="B60" s="22" t="str">
        <f>'Seguimiento Julio 2024'!C111</f>
        <v>Santo Domingo</v>
      </c>
      <c r="C60" s="22" t="str">
        <f>'Seguimiento Julio 2024'!D111</f>
        <v xml:space="preserve">Santo Domingo Norte </v>
      </c>
      <c r="D60" s="22" t="str">
        <f>'Seguimiento Julio 2024'!E111</f>
        <v>Bloque Barrio</v>
      </c>
      <c r="E60" s="22" t="str">
        <f>'Seguimiento Julio 2024'!F111</f>
        <v>Sabana Perdida II (El Cachon)</v>
      </c>
      <c r="F60" s="22" t="str">
        <f>'Seguimiento Julio 2024'!G111</f>
        <v>Sabana Perdida</v>
      </c>
      <c r="G60" s="31" t="str">
        <f>'Seguimiento Julio 2024'!H111</f>
        <v>Inaugurado</v>
      </c>
      <c r="H60" s="31">
        <f>'Seguimiento Julio 2024'!I111</f>
        <v>0</v>
      </c>
      <c r="I60" s="22" t="str">
        <f>'Seguimiento Julio 2024'!P111</f>
        <v>1ER</v>
      </c>
      <c r="J60" s="16">
        <f>'Seguimiento Julio 2024'!Q111</f>
        <v>1</v>
      </c>
      <c r="K60" s="87"/>
      <c r="L60" s="88" t="s">
        <v>543</v>
      </c>
      <c r="M60" s="284"/>
    </row>
    <row r="61" spans="1:13" ht="31.5" x14ac:dyDescent="0.25">
      <c r="A61" s="112">
        <v>53</v>
      </c>
      <c r="B61" s="22" t="str">
        <f>'Seguimiento Julio 2024'!C112</f>
        <v>Santo Domingo</v>
      </c>
      <c r="C61" s="22" t="str">
        <f>'Seguimiento Julio 2024'!D112</f>
        <v xml:space="preserve">Santo Domingo Norte </v>
      </c>
      <c r="D61" s="22" t="str">
        <f>'Seguimiento Julio 2024'!E112</f>
        <v>Bloque Barrio</v>
      </c>
      <c r="E61" s="22" t="str">
        <f>'Seguimiento Julio 2024'!F112</f>
        <v>Sabana Perdida I</v>
      </c>
      <c r="F61" s="22" t="str">
        <f>'Seguimiento Julio 2024'!G112</f>
        <v>Barrio Colinas de Marañon</v>
      </c>
      <c r="G61" s="31" t="str">
        <f>'Seguimiento Julio 2024'!H112</f>
        <v>Detenido pago cubicación</v>
      </c>
      <c r="H61" s="31">
        <f>'Seguimiento Julio 2024'!I112</f>
        <v>0</v>
      </c>
      <c r="I61" s="22" t="str">
        <f>'Seguimiento Julio 2024'!P112</f>
        <v>2DO</v>
      </c>
      <c r="J61" s="16">
        <f>'Seguimiento Julio 2024'!Q112</f>
        <v>0.52</v>
      </c>
      <c r="K61" s="87"/>
      <c r="L61" s="88" t="s">
        <v>543</v>
      </c>
      <c r="M61" s="284"/>
    </row>
    <row r="62" spans="1:13" ht="15.75" x14ac:dyDescent="0.25">
      <c r="A62" s="88">
        <v>54</v>
      </c>
      <c r="B62" s="22" t="str">
        <f>'Seguimiento Julio 2024'!C113</f>
        <v>Santo Domingo</v>
      </c>
      <c r="C62" s="22" t="str">
        <f>'Seguimiento Julio 2024'!D113</f>
        <v xml:space="preserve">Santo Domingo Norte </v>
      </c>
      <c r="D62" s="22" t="str">
        <f>'Seguimiento Julio 2024'!E113</f>
        <v>Bloque Barrio</v>
      </c>
      <c r="E62" s="22" t="str">
        <f>'Seguimiento Julio 2024'!F113</f>
        <v>Sabana Perdida II</v>
      </c>
      <c r="F62" s="22" t="str">
        <f>'Seguimiento Julio 2024'!G113</f>
        <v>Barrio Nuevo</v>
      </c>
      <c r="G62" s="31" t="str">
        <f>'Seguimiento Julio 2024'!H113</f>
        <v>Detenido por planos</v>
      </c>
      <c r="H62" s="31">
        <f>'Seguimiento Julio 2024'!I113</f>
        <v>0</v>
      </c>
      <c r="I62" s="22" t="str">
        <f>'Seguimiento Julio 2024'!P113</f>
        <v>2DO</v>
      </c>
      <c r="J62" s="16">
        <f>'Seguimiento Julio 2024'!Q113</f>
        <v>0.04</v>
      </c>
      <c r="K62" s="87"/>
      <c r="L62" s="88" t="s">
        <v>543</v>
      </c>
      <c r="M62" s="284"/>
    </row>
    <row r="63" spans="1:13" ht="47.25" x14ac:dyDescent="0.25">
      <c r="A63" s="71">
        <v>55</v>
      </c>
      <c r="B63" s="96" t="str">
        <f>'Seguimiento Julio 2024'!C114</f>
        <v>Santo Domingo</v>
      </c>
      <c r="C63" s="96" t="str">
        <f>'Seguimiento Julio 2024'!D114</f>
        <v xml:space="preserve">Santo Domingo Norte </v>
      </c>
      <c r="D63" s="96" t="str">
        <f>'Seguimiento Julio 2024'!E114</f>
        <v>Bloque Barrio</v>
      </c>
      <c r="E63" s="96" t="str">
        <f>'Seguimiento Julio 2024'!F114</f>
        <v>La Victoria, SDN  (Trasladada desde Sabana Perdida III)</v>
      </c>
      <c r="F63" s="96" t="str">
        <f>'Seguimiento Julio 2024'!G114</f>
        <v xml:space="preserve">La Victoria, SDN  </v>
      </c>
      <c r="G63" s="111" t="str">
        <f>'Seguimiento Julio 2024'!H114</f>
        <v>Sin Iniciar</v>
      </c>
      <c r="H63" s="111" t="str">
        <f>'Seguimiento Julio 2024'!I114</f>
        <v xml:space="preserve">Sin Propuesta </v>
      </c>
      <c r="I63" s="96" t="str">
        <f>'Seguimiento Julio 2024'!P114</f>
        <v>2DO</v>
      </c>
      <c r="J63" s="99">
        <f>'Seguimiento Julio 2024'!Q114</f>
        <v>0</v>
      </c>
      <c r="K63" s="87"/>
      <c r="L63" s="88" t="s">
        <v>543</v>
      </c>
      <c r="M63" s="284"/>
    </row>
    <row r="64" spans="1:13" ht="31.5" x14ac:dyDescent="0.25">
      <c r="A64" s="112">
        <v>56</v>
      </c>
      <c r="B64" s="23" t="str">
        <f>'Seguimiento Julio 2024'!C115</f>
        <v>Santo Domingo</v>
      </c>
      <c r="C64" s="23" t="str">
        <f>'Seguimiento Julio 2024'!D115</f>
        <v xml:space="preserve">Santo Domingo Norte </v>
      </c>
      <c r="D64" s="23" t="str">
        <f>'Seguimiento Julio 2024'!E115</f>
        <v>Bloque Barrio</v>
      </c>
      <c r="E64" s="23" t="str">
        <f>'Seguimiento Julio 2024'!F115</f>
        <v>Sabana Perdida IV</v>
      </c>
      <c r="F64" s="23" t="str">
        <f>'Seguimiento Julio 2024'!G115</f>
        <v>Barrio Majagual</v>
      </c>
      <c r="G64" s="58" t="str">
        <f>'Seguimiento Julio 2024'!H115</f>
        <v>Detenido pago cubicación</v>
      </c>
      <c r="H64" s="58">
        <f>'Seguimiento Julio 2024'!I115</f>
        <v>0</v>
      </c>
      <c r="I64" s="23" t="str">
        <f>'Seguimiento Julio 2024'!P115</f>
        <v>2DO</v>
      </c>
      <c r="J64" s="25">
        <f>'Seguimiento Julio 2024'!Q115</f>
        <v>0.56999999999999995</v>
      </c>
      <c r="K64" s="89"/>
      <c r="L64" s="90" t="s">
        <v>543</v>
      </c>
      <c r="M64" s="284"/>
    </row>
    <row r="65" spans="1:13" ht="31.5" x14ac:dyDescent="0.25">
      <c r="A65" s="88">
        <v>57</v>
      </c>
      <c r="B65" s="29" t="str">
        <f>'Seguimiento Julio 2024'!C116</f>
        <v>Santo Domingo</v>
      </c>
      <c r="C65" s="29" t="str">
        <f>'Seguimiento Julio 2024'!D116</f>
        <v>Santo Domingo Norte</v>
      </c>
      <c r="D65" s="29" t="str">
        <f>'Seguimiento Julio 2024'!E116</f>
        <v>Bloque Barrio</v>
      </c>
      <c r="E65" s="29" t="str">
        <f>'Seguimiento Julio 2024'!F116</f>
        <v>Palmar Encantado</v>
      </c>
      <c r="F65" s="29" t="str">
        <f>'Seguimiento Julio 2024'!G116</f>
        <v>C/Carlos G. Ruiz, Bo. Luis Manuel Caraballo</v>
      </c>
      <c r="G65" s="29" t="str">
        <f>'Seguimiento Julio 2024'!H116</f>
        <v>Detenido pago cubicación</v>
      </c>
      <c r="H65" s="29">
        <f>'Seguimiento Julio 2024'!I116</f>
        <v>0</v>
      </c>
      <c r="I65" s="29" t="str">
        <f>'Seguimiento Julio 2024'!P116</f>
        <v>2DO</v>
      </c>
      <c r="J65" s="30">
        <f>'Seguimiento Julio 2024'!Q116</f>
        <v>0.05</v>
      </c>
      <c r="K65" s="91"/>
      <c r="L65" s="90" t="s">
        <v>543</v>
      </c>
      <c r="M65" s="284"/>
    </row>
    <row r="66" spans="1:13" ht="31.5" x14ac:dyDescent="0.25">
      <c r="A66" s="71">
        <v>58</v>
      </c>
      <c r="B66" s="23" t="str">
        <f>'Seguimiento Julio 2024'!C117</f>
        <v>Santo Domingo</v>
      </c>
      <c r="C66" s="23" t="str">
        <f>'Seguimiento Julio 2024'!D117</f>
        <v xml:space="preserve">Santo Domingo Norte </v>
      </c>
      <c r="D66" s="23" t="str">
        <f>'Seguimiento Julio 2024'!E117</f>
        <v>Bloque Barrio</v>
      </c>
      <c r="E66" s="23" t="str">
        <f>'Seguimiento Julio 2024'!F117</f>
        <v>Guaricano l</v>
      </c>
      <c r="F66" s="23" t="str">
        <f>'Seguimiento Julio 2024'!G117</f>
        <v>Calle 1ro de Mayo Esq. Fray Anton De Montesinos</v>
      </c>
      <c r="G66" s="23" t="str">
        <f>'Seguimiento Julio 2024'!H117</f>
        <v>Inaugurado</v>
      </c>
      <c r="H66" s="23">
        <f>'Seguimiento Julio 2024'!I117</f>
        <v>0</v>
      </c>
      <c r="I66" s="23" t="str">
        <f>'Seguimiento Julio 2024'!P117</f>
        <v>1ER</v>
      </c>
      <c r="J66" s="25">
        <f>'Seguimiento Julio 2024'!Q117</f>
        <v>1</v>
      </c>
      <c r="K66" s="87"/>
      <c r="L66" s="90" t="s">
        <v>543</v>
      </c>
      <c r="M66" s="284"/>
    </row>
    <row r="67" spans="1:13" ht="47.25" x14ac:dyDescent="0.25">
      <c r="A67" s="112">
        <v>59</v>
      </c>
      <c r="B67" s="29" t="str">
        <f>'Seguimiento Julio 2024'!C118</f>
        <v>Santo Domingo</v>
      </c>
      <c r="C67" s="29" t="str">
        <f>'Seguimiento Julio 2024'!D118</f>
        <v xml:space="preserve">Santo Domingo Norte </v>
      </c>
      <c r="D67" s="29" t="str">
        <f>'Seguimiento Julio 2024'!E118</f>
        <v>Bloque Barrio</v>
      </c>
      <c r="E67" s="29" t="str">
        <f>'Seguimiento Julio 2024'!F118</f>
        <v>Guaricano ll (Trasladada A El Torito)</v>
      </c>
      <c r="F67" s="29" t="str">
        <f>'Seguimiento Julio 2024'!G118</f>
        <v>Av. Hermana Mirabal Frente A La Parada Del Metro Peña Gómez</v>
      </c>
      <c r="G67" s="29" t="str">
        <f>'Seguimiento Julio 2024'!H118</f>
        <v>Detenido pago cubicación</v>
      </c>
      <c r="H67" s="29">
        <f>'Seguimiento Julio 2024'!I118</f>
        <v>0</v>
      </c>
      <c r="I67" s="29" t="str">
        <f>'Seguimiento Julio 2024'!P118</f>
        <v>1ER</v>
      </c>
      <c r="J67" s="30">
        <f>'Seguimiento Julio 2024'!Q118</f>
        <v>0.03</v>
      </c>
      <c r="K67" s="87"/>
      <c r="L67" s="90" t="s">
        <v>543</v>
      </c>
      <c r="M67" s="284"/>
    </row>
    <row r="68" spans="1:13" ht="15.75" x14ac:dyDescent="0.25">
      <c r="A68" s="88">
        <v>60</v>
      </c>
      <c r="B68" s="22" t="str">
        <f>'Seguimiento Julio 2024'!C119</f>
        <v>Santo Domingo</v>
      </c>
      <c r="C68" s="22" t="str">
        <f>'Seguimiento Julio 2024'!D119</f>
        <v xml:space="preserve">Santo Domingo Norte </v>
      </c>
      <c r="D68" s="22" t="str">
        <f>'Seguimiento Julio 2024'!E119</f>
        <v>Bloque Barrio</v>
      </c>
      <c r="E68" s="22" t="str">
        <f>'Seguimiento Julio 2024'!F119</f>
        <v>Guaricano 1</v>
      </c>
      <c r="F68" s="22" t="str">
        <f>'Seguimiento Julio 2024'!G119</f>
        <v>Barrio La Mina</v>
      </c>
      <c r="G68" s="22" t="str">
        <f>'Seguimiento Julio 2024'!H119</f>
        <v>Detenido</v>
      </c>
      <c r="H68" s="22">
        <f>'Seguimiento Julio 2024'!I119</f>
        <v>0</v>
      </c>
      <c r="I68" s="22" t="str">
        <f>'Seguimiento Julio 2024'!P119</f>
        <v>2DO</v>
      </c>
      <c r="J68" s="16">
        <f>'Seguimiento Julio 2024'!Q119</f>
        <v>0.12</v>
      </c>
      <c r="K68" s="87"/>
      <c r="L68" s="90" t="s">
        <v>543</v>
      </c>
      <c r="M68" s="284"/>
    </row>
    <row r="69" spans="1:13" ht="15.75" x14ac:dyDescent="0.25">
      <c r="A69" s="71">
        <v>61</v>
      </c>
      <c r="B69" s="22" t="str">
        <f>'Seguimiento Julio 2024'!C120</f>
        <v>Santo Domingo</v>
      </c>
      <c r="C69" s="22" t="str">
        <f>'Seguimiento Julio 2024'!D120</f>
        <v xml:space="preserve">Santo Domingo Norte </v>
      </c>
      <c r="D69" s="22" t="str">
        <f>'Seguimiento Julio 2024'!E120</f>
        <v>Bloque Barrio</v>
      </c>
      <c r="E69" s="22" t="str">
        <f>'Seguimiento Julio 2024'!F120</f>
        <v>Guaricano 2</v>
      </c>
      <c r="F69" s="22" t="str">
        <f>'Seguimiento Julio 2024'!G120</f>
        <v>Barrio Ponce Adentro</v>
      </c>
      <c r="G69" s="22" t="str">
        <f>'Seguimiento Julio 2024'!H120</f>
        <v>Detenido</v>
      </c>
      <c r="H69" s="22">
        <f>'Seguimiento Julio 2024'!I120</f>
        <v>0</v>
      </c>
      <c r="I69" s="22" t="str">
        <f>'Seguimiento Julio 2024'!P120</f>
        <v>2DO</v>
      </c>
      <c r="J69" s="16">
        <f>'Seguimiento Julio 2024'!Q120</f>
        <v>0.11</v>
      </c>
      <c r="K69" s="87"/>
      <c r="L69" s="90" t="s">
        <v>543</v>
      </c>
      <c r="M69" s="284"/>
    </row>
    <row r="70" spans="1:13" ht="47.25" x14ac:dyDescent="0.25">
      <c r="A70" s="112">
        <v>62</v>
      </c>
      <c r="B70" s="22" t="str">
        <f>'Seguimiento Julio 2024'!C121</f>
        <v>Santo Domingo</v>
      </c>
      <c r="C70" s="22" t="str">
        <f>'Seguimiento Julio 2024'!D121</f>
        <v xml:space="preserve">Santo Domingo Norte </v>
      </c>
      <c r="D70" s="22" t="str">
        <f>'Seguimiento Julio 2024'!E121</f>
        <v>Bloque Barrio</v>
      </c>
      <c r="E70" s="22" t="str">
        <f>'Seguimiento Julio 2024'!F121</f>
        <v>Villa Mella 1</v>
      </c>
      <c r="F70" s="22" t="str">
        <f>'Seguimiento Julio 2024'!G121</f>
        <v>Av. Hermanas Mirabal, Frente a la Parada Gregorio Urbano Gilbert</v>
      </c>
      <c r="G70" s="22" t="str">
        <f>'Seguimiento Julio 2024'!H121</f>
        <v>Detenido por planos</v>
      </c>
      <c r="H70" s="22">
        <f>'Seguimiento Julio 2024'!I121</f>
        <v>0</v>
      </c>
      <c r="I70" s="22" t="str">
        <f>'Seguimiento Julio 2024'!P121</f>
        <v>1ER</v>
      </c>
      <c r="J70" s="16">
        <f>'Seguimiento Julio 2024'!Q121</f>
        <v>0</v>
      </c>
      <c r="K70" s="87"/>
      <c r="L70" s="90" t="s">
        <v>543</v>
      </c>
      <c r="M70" s="284"/>
    </row>
    <row r="71" spans="1:13" ht="15.75" x14ac:dyDescent="0.25">
      <c r="A71" s="88">
        <v>63</v>
      </c>
      <c r="B71" s="22" t="str">
        <f>'Seguimiento Julio 2024'!C122</f>
        <v>Santo Domingo</v>
      </c>
      <c r="C71" s="22" t="str">
        <f>'Seguimiento Julio 2024'!D122</f>
        <v xml:space="preserve">Santo Domingo Norte </v>
      </c>
      <c r="D71" s="22" t="str">
        <f>'Seguimiento Julio 2024'!E122</f>
        <v>Bloque Barrio</v>
      </c>
      <c r="E71" s="22" t="str">
        <f>'Seguimiento Julio 2024'!F122</f>
        <v>Villa Mella 2</v>
      </c>
      <c r="F71" s="22" t="str">
        <f>'Seguimiento Julio 2024'!G122</f>
        <v>Villa Mella</v>
      </c>
      <c r="G71" s="22" t="str">
        <f>'Seguimiento Julio 2024'!H122</f>
        <v>Detenido</v>
      </c>
      <c r="H71" s="22">
        <f>'Seguimiento Julio 2024'!I122</f>
        <v>0</v>
      </c>
      <c r="I71" s="22" t="str">
        <f>'Seguimiento Julio 2024'!P122</f>
        <v>1ER</v>
      </c>
      <c r="J71" s="16">
        <f>'Seguimiento Julio 2024'!Q122</f>
        <v>0.04</v>
      </c>
      <c r="K71" s="87"/>
      <c r="L71" s="90" t="s">
        <v>543</v>
      </c>
      <c r="M71" s="284"/>
    </row>
    <row r="72" spans="1:13" ht="15.75" x14ac:dyDescent="0.25">
      <c r="A72" s="71">
        <v>64</v>
      </c>
      <c r="B72" s="22" t="str">
        <f>'Seguimiento Julio 2024'!C123</f>
        <v>Santo Domingo</v>
      </c>
      <c r="C72" s="22" t="str">
        <f>'Seguimiento Julio 2024'!D123</f>
        <v xml:space="preserve">Santo Domingo Norte </v>
      </c>
      <c r="D72" s="22" t="str">
        <f>'Seguimiento Julio 2024'!E123</f>
        <v>Bloque Barrio</v>
      </c>
      <c r="E72" s="22" t="str">
        <f>'Seguimiento Julio 2024'!F123</f>
        <v>Villa Mella 1</v>
      </c>
      <c r="F72" s="275" t="str">
        <f>'Seguimiento Julio 2024'!G123</f>
        <v>Canaan III</v>
      </c>
      <c r="G72" s="139" t="str">
        <f>'Seguimiento Julio 2024'!H123</f>
        <v>Inaugurado</v>
      </c>
      <c r="H72" s="139">
        <f>'Seguimiento Julio 2024'!I123</f>
        <v>0</v>
      </c>
      <c r="I72" s="139" t="str">
        <f>'Seguimiento Julio 2024'!P123</f>
        <v>2DO</v>
      </c>
      <c r="J72" s="152">
        <f>'Seguimiento Julio 2024'!Q123</f>
        <v>1</v>
      </c>
      <c r="K72" s="87"/>
      <c r="L72" s="90" t="s">
        <v>543</v>
      </c>
      <c r="M72" s="285" t="s">
        <v>582</v>
      </c>
    </row>
    <row r="73" spans="1:13" ht="15.75" x14ac:dyDescent="0.25">
      <c r="A73" s="112">
        <v>65</v>
      </c>
      <c r="B73" s="22" t="str">
        <f>'Seguimiento Julio 2024'!C124</f>
        <v>Santo Domingo</v>
      </c>
      <c r="C73" s="22" t="str">
        <f>'Seguimiento Julio 2024'!D124</f>
        <v xml:space="preserve">Santo Domingo Norte </v>
      </c>
      <c r="D73" s="22" t="str">
        <f>'Seguimiento Julio 2024'!E124</f>
        <v>Bloque Barrio</v>
      </c>
      <c r="E73" s="22" t="str">
        <f>'Seguimiento Julio 2024'!F124</f>
        <v>Villa Mella 2</v>
      </c>
      <c r="F73" s="22" t="str">
        <f>'Seguimiento Julio 2024'!G124</f>
        <v>San Felipe</v>
      </c>
      <c r="G73" s="22" t="str">
        <f>'Seguimiento Julio 2024'!H124</f>
        <v>Detenido</v>
      </c>
      <c r="H73" s="22">
        <f>'Seguimiento Julio 2024'!I124</f>
        <v>0</v>
      </c>
      <c r="I73" s="22" t="str">
        <f>'Seguimiento Julio 2024'!P124</f>
        <v>2DO</v>
      </c>
      <c r="J73" s="16">
        <f>'Seguimiento Julio 2024'!Q124</f>
        <v>0.66</v>
      </c>
      <c r="K73" s="87"/>
      <c r="L73" s="90" t="s">
        <v>543</v>
      </c>
      <c r="M73" s="284"/>
    </row>
    <row r="74" spans="1:13" ht="15.75" x14ac:dyDescent="0.25">
      <c r="A74" s="88">
        <v>66</v>
      </c>
      <c r="B74" s="22" t="str">
        <f>'Seguimiento Julio 2024'!C125</f>
        <v>Santo Domingo</v>
      </c>
      <c r="C74" s="22" t="str">
        <f>'Seguimiento Julio 2024'!D125</f>
        <v xml:space="preserve">Santo Domingo Norte </v>
      </c>
      <c r="D74" s="22" t="str">
        <f>'Seguimiento Julio 2024'!E125</f>
        <v>Bloque Barrio</v>
      </c>
      <c r="E74" s="22" t="str">
        <f>'Seguimiento Julio 2024'!F125</f>
        <v>* Villa Mella 3</v>
      </c>
      <c r="F74" s="275" t="str">
        <f>'Seguimiento Julio 2024'!G125</f>
        <v>Buena Vista</v>
      </c>
      <c r="G74" s="22" t="str">
        <f>'Seguimiento Julio 2024'!H125</f>
        <v>Detenido</v>
      </c>
      <c r="H74" s="22">
        <f>'Seguimiento Julio 2024'!I125</f>
        <v>0</v>
      </c>
      <c r="I74" s="22" t="str">
        <f>'Seguimiento Julio 2024'!P125</f>
        <v>2DO</v>
      </c>
      <c r="J74" s="16">
        <f>'Seguimiento Julio 2024'!Q125</f>
        <v>0</v>
      </c>
      <c r="K74" s="87"/>
      <c r="L74" s="90" t="s">
        <v>543</v>
      </c>
      <c r="M74" s="285" t="s">
        <v>583</v>
      </c>
    </row>
    <row r="75" spans="1:13" ht="15.75" x14ac:dyDescent="0.25">
      <c r="A75" s="71">
        <v>67</v>
      </c>
      <c r="B75" s="22" t="str">
        <f>'Seguimiento Julio 2024'!C126</f>
        <v>Santo Domingo</v>
      </c>
      <c r="C75" s="22" t="str">
        <f>'Seguimiento Julio 2024'!D126</f>
        <v xml:space="preserve">Santo Domingo Norte </v>
      </c>
      <c r="D75" s="22" t="str">
        <f>'Seguimiento Julio 2024'!E126</f>
        <v>Bloque Barrio</v>
      </c>
      <c r="E75" s="22" t="str">
        <f>'Seguimiento Julio 2024'!F126</f>
        <v>Villa Mella 4</v>
      </c>
      <c r="F75" s="275" t="str">
        <f>'Seguimiento Julio 2024'!G126</f>
        <v>Mata Los Indios</v>
      </c>
      <c r="G75" s="22" t="str">
        <f>'Seguimiento Julio 2024'!H126</f>
        <v>Detenido</v>
      </c>
      <c r="H75" s="22">
        <f>'Seguimiento Julio 2024'!I126</f>
        <v>0</v>
      </c>
      <c r="I75" s="22" t="str">
        <f>'Seguimiento Julio 2024'!P126</f>
        <v>2DO</v>
      </c>
      <c r="J75" s="16">
        <f>'Seguimiento Julio 2024'!Q126</f>
        <v>0.05</v>
      </c>
      <c r="K75" s="87"/>
      <c r="L75" s="90" t="s">
        <v>543</v>
      </c>
      <c r="M75" s="285" t="s">
        <v>582</v>
      </c>
    </row>
    <row r="76" spans="1:13" ht="47.25" x14ac:dyDescent="0.25">
      <c r="A76" s="112">
        <v>68</v>
      </c>
      <c r="B76" s="22" t="str">
        <f>'Seguimiento Julio 2024'!C127</f>
        <v>Santo Domingo</v>
      </c>
      <c r="C76" s="22" t="str">
        <f>'Seguimiento Julio 2024'!D127</f>
        <v xml:space="preserve">Santo Domingo Norte </v>
      </c>
      <c r="D76" s="22" t="str">
        <f>'Seguimiento Julio 2024'!E127</f>
        <v>Bloque Barrio</v>
      </c>
      <c r="E76" s="22" t="str">
        <f>'Seguimiento Julio 2024'!F127</f>
        <v>La Nueva Barquita (Trasladada Desde La Caleta)</v>
      </c>
      <c r="F76" s="22" t="str">
        <f>'Seguimiento Julio 2024'!G127</f>
        <v>La Nueva Barquita</v>
      </c>
      <c r="G76" s="31" t="str">
        <f>'Seguimiento Julio 2024'!H127</f>
        <v>Inaugurado</v>
      </c>
      <c r="H76" s="31">
        <f>'Seguimiento Julio 2024'!I127</f>
        <v>0</v>
      </c>
      <c r="I76" s="22" t="str">
        <f>'Seguimiento Julio 2024'!P127</f>
        <v>1ER</v>
      </c>
      <c r="J76" s="16">
        <f>'Seguimiento Julio 2024'!Q127</f>
        <v>1</v>
      </c>
      <c r="K76" s="87"/>
      <c r="L76" s="90" t="s">
        <v>543</v>
      </c>
      <c r="M76" s="284"/>
    </row>
    <row r="77" spans="1:13" ht="31.5" x14ac:dyDescent="0.25">
      <c r="A77" s="88">
        <v>69</v>
      </c>
      <c r="B77" s="22" t="str">
        <f>'Seguimiento Julio 2024'!C128</f>
        <v>Santo Domingo</v>
      </c>
      <c r="C77" s="22" t="str">
        <f>'Seguimiento Julio 2024'!D128</f>
        <v>Santo Domingo Oeste</v>
      </c>
      <c r="D77" s="22" t="str">
        <f>'Seguimiento Julio 2024'!E128</f>
        <v>Bloque Barrio</v>
      </c>
      <c r="E77" s="22" t="str">
        <f>'Seguimiento Julio 2024'!F128</f>
        <v>San Miguel (Antigua Alameda)</v>
      </c>
      <c r="F77" s="22" t="str">
        <f>'Seguimiento Julio 2024'!G128</f>
        <v>San Miguel (Antigua Alameda)</v>
      </c>
      <c r="G77" s="31" t="str">
        <f>'Seguimiento Julio 2024'!H128</f>
        <v>Detenido pago cubicación</v>
      </c>
      <c r="H77" s="22">
        <f>'Seguimiento Julio 2024'!I128</f>
        <v>0</v>
      </c>
      <c r="I77" s="22" t="str">
        <f>'Seguimiento Julio 2024'!P128</f>
        <v>2DO</v>
      </c>
      <c r="J77" s="16">
        <f>'Seguimiento Julio 2024'!Q128</f>
        <v>0.34</v>
      </c>
      <c r="K77" s="87"/>
      <c r="L77" s="88" t="s">
        <v>544</v>
      </c>
      <c r="M77" s="284"/>
    </row>
    <row r="78" spans="1:13" ht="31.5" x14ac:dyDescent="0.25">
      <c r="A78" s="71">
        <v>70</v>
      </c>
      <c r="B78" s="22" t="str">
        <f>'Seguimiento Julio 2024'!C129</f>
        <v>Santo Domingo</v>
      </c>
      <c r="C78" s="22" t="str">
        <f>'Seguimiento Julio 2024'!D129</f>
        <v>Santo Domingo Oeste</v>
      </c>
      <c r="D78" s="22" t="str">
        <f>'Seguimiento Julio 2024'!E129</f>
        <v>Bloque Barrio</v>
      </c>
      <c r="E78" s="22" t="str">
        <f>'Seguimiento Julio 2024'!F129</f>
        <v>* Villa Aura - Los Olivos</v>
      </c>
      <c r="F78" s="22" t="str">
        <f>'Seguimiento Julio 2024'!G129</f>
        <v>Villa Aura - Los Olivos</v>
      </c>
      <c r="G78" s="31" t="str">
        <f>'Seguimiento Julio 2024'!H129</f>
        <v>Detenido pago cubicación</v>
      </c>
      <c r="H78" s="22">
        <f>'Seguimiento Julio 2024'!I129</f>
        <v>0</v>
      </c>
      <c r="I78" s="22" t="str">
        <f>'Seguimiento Julio 2024'!P129</f>
        <v>2DO</v>
      </c>
      <c r="J78" s="16">
        <f>'Seguimiento Julio 2024'!Q129</f>
        <v>0.13</v>
      </c>
      <c r="K78" s="87"/>
      <c r="L78" s="88" t="s">
        <v>544</v>
      </c>
      <c r="M78" s="284"/>
    </row>
    <row r="79" spans="1:13" ht="38.25" x14ac:dyDescent="0.25">
      <c r="A79" s="112">
        <v>71</v>
      </c>
      <c r="B79" s="83" t="str">
        <f>'Seguimiento Julio 2024'!C131</f>
        <v>Santo Domingo</v>
      </c>
      <c r="C79" s="23" t="str">
        <f>'Seguimiento Julio 2024'!D131</f>
        <v>Santo Domingo Oeste</v>
      </c>
      <c r="D79" s="83" t="str">
        <f>'Seguimiento Julio 2024'!E131</f>
        <v>Bloque Barrio</v>
      </c>
      <c r="E79" s="84" t="str">
        <f>'Seguimiento Julio 2024'!F131</f>
        <v>El Libertador (Las Malvinas)</v>
      </c>
      <c r="F79" s="84" t="str">
        <f>'Seguimiento Julio 2024'!G131</f>
        <v>Av.  Isabel Aguiar detrás de la Universidad Federico Henriquez y Carvajal</v>
      </c>
      <c r="G79" s="23" t="str">
        <f>'Seguimiento Julio 2024'!H131</f>
        <v>Inaugurado</v>
      </c>
      <c r="H79" s="23">
        <f>'Seguimiento Julio 2024'!I131</f>
        <v>0</v>
      </c>
      <c r="I79" s="23" t="str">
        <f>'Seguimiento Julio 2024'!P131</f>
        <v>1ER</v>
      </c>
      <c r="J79" s="326">
        <f>'Seguimiento Julio 2024'!Q131</f>
        <v>1</v>
      </c>
      <c r="K79" s="23"/>
      <c r="L79" s="90" t="s">
        <v>541</v>
      </c>
      <c r="M79" s="286" t="s">
        <v>582</v>
      </c>
    </row>
    <row r="80" spans="1:13" ht="47.25" x14ac:dyDescent="0.25">
      <c r="A80" s="88">
        <v>72</v>
      </c>
      <c r="B80" s="23" t="str">
        <f>'Seguimiento Julio 2024'!C132</f>
        <v>Santo Domingo</v>
      </c>
      <c r="C80" s="23" t="str">
        <f>'Seguimiento Julio 2024'!D132</f>
        <v>Santo Domingo Oeste</v>
      </c>
      <c r="D80" s="23" t="str">
        <f>'Seguimiento Julio 2024'!E132</f>
        <v>Bloque Barrio</v>
      </c>
      <c r="E80" s="23" t="str">
        <f>'Seguimiento Julio 2024'!F132</f>
        <v>El Café De Herrera</v>
      </c>
      <c r="F80" s="23" t="str">
        <f>'Seguimiento Julio 2024'!G132</f>
        <v>Calle Central Bo. El Café de Herrera. Detrás Del Santo Domingo Country Club</v>
      </c>
      <c r="G80" s="83" t="str">
        <f>'Seguimiento Julio 2024'!H132</f>
        <v>Inaugurado</v>
      </c>
      <c r="H80" s="23">
        <f>'Seguimiento Julio 2024'!I132</f>
        <v>0</v>
      </c>
      <c r="I80" s="83" t="str">
        <f>'Seguimiento Julio 2024'!P132</f>
        <v>1ER</v>
      </c>
      <c r="J80" s="85">
        <f>'Seguimiento Julio 2024'!Q132</f>
        <v>1</v>
      </c>
      <c r="K80" s="84"/>
      <c r="L80" s="90" t="s">
        <v>544</v>
      </c>
      <c r="M80" s="286" t="s">
        <v>725</v>
      </c>
    </row>
    <row r="81" spans="1:14" ht="15.75" x14ac:dyDescent="0.25">
      <c r="A81" s="71">
        <v>73</v>
      </c>
      <c r="B81" s="83" t="str">
        <f>'Seguimiento Julio 2024'!C133</f>
        <v>Santo Domingo</v>
      </c>
      <c r="C81" s="23" t="str">
        <f>'Seguimiento Julio 2024'!D133</f>
        <v>Santo Domingo Oeste</v>
      </c>
      <c r="D81" s="83" t="str">
        <f>'Seguimiento Julio 2024'!E133</f>
        <v>Bloque Barrio</v>
      </c>
      <c r="E81" s="84" t="str">
        <f>'Seguimiento Julio 2024'!F133</f>
        <v>Herrera-Engombe</v>
      </c>
      <c r="F81" s="84" t="str">
        <f>'Seguimiento Julio 2024'!G133</f>
        <v>Herrera-Engombe</v>
      </c>
      <c r="G81" s="323" t="str">
        <f>'Seguimiento Julio 2024'!H133</f>
        <v>Detenido pago cubicación</v>
      </c>
      <c r="H81" s="323">
        <f>'Seguimiento Julio 2024'!I133</f>
        <v>0</v>
      </c>
      <c r="I81" s="323" t="str">
        <f>'Seguimiento Julio 2024'!P133</f>
        <v>2DO</v>
      </c>
      <c r="J81" s="324">
        <f>'Seguimiento Julio 2024'!Q133</f>
        <v>0.1</v>
      </c>
      <c r="K81" s="89"/>
      <c r="L81" s="90" t="s">
        <v>544</v>
      </c>
      <c r="M81" s="286" t="s">
        <v>726</v>
      </c>
    </row>
    <row r="82" spans="1:14" ht="31.5" x14ac:dyDescent="0.25">
      <c r="A82" s="112">
        <v>74</v>
      </c>
      <c r="B82" s="23" t="str">
        <f>'Seguimiento Julio 2024'!C134</f>
        <v>Santo Domingo</v>
      </c>
      <c r="C82" s="23" t="str">
        <f>'Seguimiento Julio 2024'!D134</f>
        <v>Santo Domingo Oeste</v>
      </c>
      <c r="D82" s="23" t="str">
        <f>'Seguimiento Julio 2024'!E134</f>
        <v>Bloque Barrio</v>
      </c>
      <c r="E82" s="23" t="str">
        <f>'Seguimiento Julio 2024'!F134</f>
        <v>Herrera- Duarte- Buenos Aires 1</v>
      </c>
      <c r="F82" s="23" t="str">
        <f>'Seguimiento Julio 2024'!G134</f>
        <v>Herrera- Duarte- Buenos Aires 1</v>
      </c>
      <c r="G82" s="23" t="str">
        <f>'Seguimiento Julio 2024'!H134</f>
        <v>Sin Iniciar</v>
      </c>
      <c r="H82" s="23" t="str">
        <f>'Seguimiento Julio 2024'!I134</f>
        <v xml:space="preserve">Negociado </v>
      </c>
      <c r="I82" s="23" t="str">
        <f>'Seguimiento Julio 2024'!P134</f>
        <v>2DO</v>
      </c>
      <c r="J82" s="326">
        <f>'Seguimiento Julio 2024'!Q134</f>
        <v>0</v>
      </c>
      <c r="K82" s="23"/>
      <c r="L82" s="90" t="s">
        <v>544</v>
      </c>
      <c r="M82" s="286" t="s">
        <v>727</v>
      </c>
    </row>
    <row r="83" spans="1:14" ht="15.75" x14ac:dyDescent="0.25">
      <c r="A83" s="88">
        <v>75</v>
      </c>
      <c r="B83" s="83" t="str">
        <f>'Seguimiento Julio 2024'!C135</f>
        <v>Santo Domingo</v>
      </c>
      <c r="C83" s="23" t="str">
        <f>'Seguimiento Julio 2024'!D135</f>
        <v>Santo Domingo Oeste</v>
      </c>
      <c r="D83" s="83" t="str">
        <f>'Seguimiento Julio 2024'!E135</f>
        <v>Bloque Barrio</v>
      </c>
      <c r="E83" s="84" t="str">
        <f>'Seguimiento Julio 2024'!F135</f>
        <v>Herrera- Duarte- Buenos Aires 2</v>
      </c>
      <c r="F83" s="84" t="str">
        <f>'Seguimiento Julio 2024'!G135</f>
        <v>Herrera- Duarte- Buenos Aires 2</v>
      </c>
      <c r="G83" s="83" t="str">
        <f>'Seguimiento Julio 2024'!H135</f>
        <v>Sin Iniciar</v>
      </c>
      <c r="H83" s="23" t="str">
        <f>'Seguimiento Julio 2024'!I135</f>
        <v xml:space="preserve">Negociado </v>
      </c>
      <c r="I83" s="83" t="str">
        <f>'Seguimiento Julio 2024'!P135</f>
        <v>2DO</v>
      </c>
      <c r="J83" s="85">
        <f>'Seguimiento Julio 2024'!Q135</f>
        <v>0</v>
      </c>
      <c r="K83" s="84"/>
      <c r="L83" s="90" t="s">
        <v>544</v>
      </c>
      <c r="M83" s="286" t="s">
        <v>728</v>
      </c>
    </row>
    <row r="84" spans="1:14" ht="15.75" x14ac:dyDescent="0.25">
      <c r="A84" s="71">
        <v>76</v>
      </c>
      <c r="B84" s="23" t="str">
        <f>'Seguimiento Julio 2024'!C136</f>
        <v>Santo Domingo</v>
      </c>
      <c r="C84" s="23" t="str">
        <f>'Seguimiento Julio 2024'!D136</f>
        <v>Santo Domingo Oeste</v>
      </c>
      <c r="D84" s="23" t="str">
        <f>'Seguimiento Julio 2024'!E136</f>
        <v>Bloque Barrio</v>
      </c>
      <c r="E84" s="23" t="str">
        <f>'Seguimiento Julio 2024'!F136</f>
        <v>Herrera- El Abanico</v>
      </c>
      <c r="F84" s="23" t="str">
        <f>'Seguimiento Julio 2024'!G136</f>
        <v>Herrera- El Abanico</v>
      </c>
      <c r="G84" s="23" t="str">
        <f>'Seguimiento Julio 2024'!H136</f>
        <v>Detenido</v>
      </c>
      <c r="H84" s="23">
        <f>'Seguimiento Julio 2024'!I136</f>
        <v>0</v>
      </c>
      <c r="I84" s="23" t="str">
        <f>'Seguimiento Julio 2024'!P136</f>
        <v>2DO</v>
      </c>
      <c r="J84" s="326">
        <f>'Seguimiento Julio 2024'!Q136</f>
        <v>0.05</v>
      </c>
      <c r="K84" s="23"/>
      <c r="L84" s="90" t="s">
        <v>544</v>
      </c>
      <c r="M84" s="286" t="s">
        <v>729</v>
      </c>
    </row>
    <row r="85" spans="1:14" ht="15.75" x14ac:dyDescent="0.25">
      <c r="A85" s="112">
        <v>77</v>
      </c>
      <c r="B85" s="83" t="str">
        <f>'Seguimiento Julio 2024'!C137</f>
        <v>Santo Domingo</v>
      </c>
      <c r="C85" s="23" t="str">
        <f>'Seguimiento Julio 2024'!D137</f>
        <v>Santo Domingo Oeste</v>
      </c>
      <c r="D85" s="83" t="str">
        <f>'Seguimiento Julio 2024'!E137</f>
        <v>Bloque Barrio</v>
      </c>
      <c r="E85" s="84" t="str">
        <f>'Seguimiento Julio 2024'!F137</f>
        <v>* Las Caobas-El Rosal</v>
      </c>
      <c r="F85" s="84" t="str">
        <f>'Seguimiento Julio 2024'!G137</f>
        <v>Las Caobas-El Rosal</v>
      </c>
      <c r="G85" s="83" t="str">
        <f>'Seguimiento Julio 2024'!H137</f>
        <v>Sin Iniciar</v>
      </c>
      <c r="H85" s="23" t="str">
        <f>'Seguimiento Julio 2024'!I137</f>
        <v xml:space="preserve">Negociado </v>
      </c>
      <c r="I85" s="83" t="str">
        <f>'Seguimiento Julio 2024'!P137</f>
        <v>2DO</v>
      </c>
      <c r="J85" s="85">
        <f>'Seguimiento Julio 2024'!Q137</f>
        <v>0</v>
      </c>
      <c r="K85" s="84"/>
      <c r="L85" s="90" t="s">
        <v>544</v>
      </c>
      <c r="M85" s="286" t="s">
        <v>730</v>
      </c>
    </row>
    <row r="86" spans="1:14" ht="15.75" x14ac:dyDescent="0.25">
      <c r="A86" s="23"/>
      <c r="B86" s="23"/>
      <c r="C86" s="23"/>
      <c r="D86" s="23"/>
      <c r="E86" s="23"/>
      <c r="F86" s="23"/>
      <c r="G86" s="23"/>
      <c r="H86" s="23"/>
      <c r="I86" s="23"/>
      <c r="J86" s="23"/>
      <c r="K86" s="23"/>
      <c r="L86" s="23"/>
      <c r="M86" s="23"/>
    </row>
    <row r="87" spans="1:14" ht="15.75" x14ac:dyDescent="0.25">
      <c r="A87" s="83"/>
      <c r="B87" s="23"/>
      <c r="C87" s="83"/>
      <c r="D87" s="84"/>
      <c r="E87" s="84"/>
      <c r="F87" s="83"/>
      <c r="G87" s="23"/>
      <c r="H87" s="83"/>
      <c r="I87" s="84"/>
      <c r="J87" s="84"/>
      <c r="K87" s="83"/>
      <c r="L87" s="23"/>
      <c r="M87" s="83"/>
    </row>
    <row r="88" spans="1:14" ht="15.75" x14ac:dyDescent="0.25">
      <c r="A88" s="320"/>
      <c r="B88" s="321"/>
      <c r="C88" s="322"/>
      <c r="D88" s="321"/>
      <c r="E88" s="323"/>
      <c r="F88" s="323"/>
      <c r="G88" s="323"/>
      <c r="H88" s="323"/>
      <c r="I88" s="323"/>
      <c r="J88" s="324"/>
      <c r="K88" s="325"/>
      <c r="L88" s="38"/>
    </row>
    <row r="89" spans="1:14" ht="15.75" x14ac:dyDescent="0.25">
      <c r="A89" s="320"/>
      <c r="B89" s="321"/>
      <c r="C89" s="322"/>
      <c r="D89" s="321"/>
      <c r="E89" s="323"/>
      <c r="F89" s="323"/>
      <c r="G89" s="323"/>
      <c r="H89" s="323"/>
      <c r="I89" s="323"/>
      <c r="J89" s="324"/>
      <c r="K89" s="325"/>
      <c r="L89" s="38"/>
    </row>
    <row r="90" spans="1:14" ht="15.75" x14ac:dyDescent="0.25">
      <c r="A90" s="320"/>
      <c r="B90" s="321"/>
      <c r="C90" s="322"/>
      <c r="D90" s="321"/>
      <c r="E90" s="323"/>
      <c r="F90" s="323"/>
      <c r="G90" s="323"/>
      <c r="H90" s="323"/>
      <c r="I90" s="323"/>
      <c r="J90" s="324"/>
      <c r="K90" s="325"/>
      <c r="L90" s="38"/>
    </row>
    <row r="91" spans="1:14" ht="15.75" x14ac:dyDescent="0.25">
      <c r="A91" s="320"/>
      <c r="B91" s="321"/>
      <c r="C91" s="322"/>
      <c r="D91" s="321"/>
      <c r="E91" s="323"/>
      <c r="F91" s="323"/>
      <c r="G91" s="323"/>
      <c r="H91" s="323"/>
      <c r="I91" s="323"/>
      <c r="J91" s="324"/>
      <c r="K91" s="325"/>
      <c r="L91" s="38"/>
    </row>
    <row r="93" spans="1:14" ht="15" customHeight="1" x14ac:dyDescent="0.25">
      <c r="C93" s="398" t="s">
        <v>545</v>
      </c>
      <c r="D93" s="398"/>
      <c r="E93" s="398"/>
      <c r="F93" s="398"/>
      <c r="G93" s="398"/>
      <c r="H93" s="398"/>
    </row>
    <row r="94" spans="1:14" ht="15" customHeight="1" x14ac:dyDescent="0.25">
      <c r="C94" s="398"/>
      <c r="D94" s="398"/>
      <c r="E94" s="398"/>
      <c r="F94" s="398"/>
      <c r="G94" s="398"/>
      <c r="H94" s="398"/>
    </row>
    <row r="95" spans="1:14" ht="21" x14ac:dyDescent="0.25">
      <c r="D95" s="54"/>
      <c r="E95" s="61"/>
      <c r="F95" s="54"/>
      <c r="G95" s="54"/>
      <c r="H95" s="54"/>
    </row>
    <row r="96" spans="1:14" x14ac:dyDescent="0.25">
      <c r="C96" s="62" t="s">
        <v>533</v>
      </c>
      <c r="D96" s="62" t="s">
        <v>518</v>
      </c>
      <c r="E96" s="63" t="s">
        <v>13</v>
      </c>
      <c r="F96" s="62" t="s">
        <v>520</v>
      </c>
      <c r="G96" s="62" t="s">
        <v>521</v>
      </c>
      <c r="H96" s="64" t="s">
        <v>14</v>
      </c>
      <c r="M96" s="1" t="s">
        <v>13</v>
      </c>
      <c r="N96" s="1" t="s">
        <v>9</v>
      </c>
    </row>
    <row r="97" spans="3:14" ht="21" customHeight="1" x14ac:dyDescent="0.25">
      <c r="C97" s="102" t="s">
        <v>279</v>
      </c>
      <c r="D97" s="65">
        <f t="shared" ref="D97:D103" si="0">+COUNTIFS($L$9:$L$86,C97)</f>
        <v>8</v>
      </c>
      <c r="E97" s="66">
        <f t="shared" ref="E97:E103" si="1">+COUNTIFS($L$9:$L$79,C97,$G$9:$G$79,$M$96)</f>
        <v>3</v>
      </c>
      <c r="F97" s="65">
        <f t="shared" ref="F97:F103" si="2">+COUNTIFS($G$9:$G$79,$N$96,$L$9:$L$79,C97)+COUNTIFS($G$9:$G$79,$N$99,$L$9:$L$79,C97)</f>
        <v>0</v>
      </c>
      <c r="G97" s="65">
        <f t="shared" ref="G97:G103" si="3">+COUNTIFS($G$9:$G$79,$M$97,$L$9:$L$79,C97)+COUNTIFS($G$9:$G$78,$M$98,$L$9:$L$78,C97)+COUNTIFS($G$9:$G$78,$N$98,$L$9:$L$78,C97)+COUNTIFS($G$9:$G$78,$M$99,$L$9:$L$78,C97)</f>
        <v>5</v>
      </c>
      <c r="H97" s="65">
        <f t="shared" ref="H97:H103" si="4">+COUNTIFS($G$9:$G$79,$N$97,$L$9:$L$79,C97)</f>
        <v>0</v>
      </c>
      <c r="M97" s="1" t="s">
        <v>0</v>
      </c>
      <c r="N97" s="1" t="s">
        <v>14</v>
      </c>
    </row>
    <row r="98" spans="3:14" ht="15" customHeight="1" x14ac:dyDescent="0.25">
      <c r="C98" s="102" t="s">
        <v>539</v>
      </c>
      <c r="D98" s="65">
        <f t="shared" si="0"/>
        <v>8</v>
      </c>
      <c r="E98" s="66">
        <f t="shared" si="1"/>
        <v>2</v>
      </c>
      <c r="F98" s="65">
        <f t="shared" si="2"/>
        <v>0</v>
      </c>
      <c r="G98" s="65">
        <f t="shared" si="3"/>
        <v>3</v>
      </c>
      <c r="H98" s="65">
        <f t="shared" si="4"/>
        <v>3</v>
      </c>
      <c r="M98" s="3" t="s">
        <v>3</v>
      </c>
      <c r="N98" s="6" t="s">
        <v>7</v>
      </c>
    </row>
    <row r="99" spans="3:14" ht="15" customHeight="1" x14ac:dyDescent="0.25">
      <c r="C99" s="102" t="s">
        <v>541</v>
      </c>
      <c r="D99" s="65">
        <f t="shared" si="0"/>
        <v>32</v>
      </c>
      <c r="E99" s="66">
        <f t="shared" si="1"/>
        <v>12</v>
      </c>
      <c r="F99" s="65">
        <f t="shared" si="2"/>
        <v>2</v>
      </c>
      <c r="G99" s="65">
        <f t="shared" si="3"/>
        <v>12</v>
      </c>
      <c r="H99" s="65">
        <f t="shared" si="4"/>
        <v>6</v>
      </c>
      <c r="M99" s="3" t="s">
        <v>5</v>
      </c>
      <c r="N99" t="s">
        <v>535</v>
      </c>
    </row>
    <row r="100" spans="3:14" x14ac:dyDescent="0.25">
      <c r="C100" s="102" t="s">
        <v>543</v>
      </c>
      <c r="D100" s="65">
        <f t="shared" si="0"/>
        <v>19</v>
      </c>
      <c r="E100" s="66">
        <f t="shared" si="1"/>
        <v>5</v>
      </c>
      <c r="F100" s="65">
        <f t="shared" si="2"/>
        <v>0</v>
      </c>
      <c r="G100" s="65">
        <f t="shared" si="3"/>
        <v>12</v>
      </c>
      <c r="H100" s="65">
        <f t="shared" si="4"/>
        <v>2</v>
      </c>
    </row>
    <row r="101" spans="3:14" x14ac:dyDescent="0.25">
      <c r="C101" s="102" t="s">
        <v>544</v>
      </c>
      <c r="D101" s="65">
        <f t="shared" si="0"/>
        <v>8</v>
      </c>
      <c r="E101" s="66">
        <f t="shared" si="1"/>
        <v>0</v>
      </c>
      <c r="F101" s="65">
        <f t="shared" si="2"/>
        <v>0</v>
      </c>
      <c r="G101" s="65">
        <f t="shared" si="3"/>
        <v>2</v>
      </c>
      <c r="H101" s="65">
        <f t="shared" si="4"/>
        <v>0</v>
      </c>
    </row>
    <row r="102" spans="3:14" x14ac:dyDescent="0.25">
      <c r="C102" s="102" t="s">
        <v>542</v>
      </c>
      <c r="D102" s="65">
        <f t="shared" si="0"/>
        <v>1</v>
      </c>
      <c r="E102" s="66">
        <f t="shared" si="1"/>
        <v>0</v>
      </c>
      <c r="F102" s="65">
        <f t="shared" si="2"/>
        <v>1</v>
      </c>
      <c r="G102" s="65">
        <f t="shared" si="3"/>
        <v>0</v>
      </c>
      <c r="H102" s="65">
        <f t="shared" si="4"/>
        <v>0</v>
      </c>
    </row>
    <row r="103" spans="3:14" x14ac:dyDescent="0.25">
      <c r="C103" s="102" t="s">
        <v>602</v>
      </c>
      <c r="D103" s="65">
        <f t="shared" si="0"/>
        <v>1</v>
      </c>
      <c r="E103" s="66">
        <f t="shared" si="1"/>
        <v>0</v>
      </c>
      <c r="F103" s="65">
        <f t="shared" si="2"/>
        <v>0</v>
      </c>
      <c r="G103" s="65">
        <f t="shared" si="3"/>
        <v>0</v>
      </c>
      <c r="H103" s="65">
        <f t="shared" si="4"/>
        <v>1</v>
      </c>
    </row>
    <row r="104" spans="3:14" ht="21" x14ac:dyDescent="0.35">
      <c r="C104" s="67" t="s">
        <v>522</v>
      </c>
      <c r="D104" s="68">
        <f>SUM(D97:D103)</f>
        <v>77</v>
      </c>
      <c r="E104" s="69">
        <f>SUM(E97:E103)</f>
        <v>22</v>
      </c>
      <c r="F104" s="68">
        <f>SUM(F97:F103)</f>
        <v>3</v>
      </c>
      <c r="G104" s="68">
        <f>SUM(G97:G103)</f>
        <v>34</v>
      </c>
      <c r="H104" s="68">
        <f>SUM(H97:H103)</f>
        <v>12</v>
      </c>
      <c r="I104" s="6">
        <f>+E104+F104+G104+H104</f>
        <v>71</v>
      </c>
      <c r="J104" s="77"/>
    </row>
    <row r="114" spans="13:18" x14ac:dyDescent="0.25">
      <c r="M114" s="62" t="s">
        <v>585</v>
      </c>
      <c r="N114" s="62" t="s">
        <v>518</v>
      </c>
      <c r="O114" s="63" t="s">
        <v>13</v>
      </c>
      <c r="P114" s="62" t="s">
        <v>520</v>
      </c>
      <c r="Q114" s="62" t="s">
        <v>521</v>
      </c>
      <c r="R114" s="64" t="s">
        <v>14</v>
      </c>
    </row>
    <row r="115" spans="13:18" x14ac:dyDescent="0.25">
      <c r="M115" s="71" t="s">
        <v>584</v>
      </c>
      <c r="N115" s="65">
        <f>+COUNTIFS($M$9:$M$79,M115)</f>
        <v>5</v>
      </c>
      <c r="O115" s="66">
        <f>+COUNTIFS($M$9:$M$79,M115,$G$9:$G$79,$M$96)</f>
        <v>1</v>
      </c>
      <c r="P115" s="65">
        <f>+COUNTIFS($G$9:$G$79,$N$96,$M$9:$M$79,M115)+COUNTIFS($G$9:$G$79,$N$99,$L$9:$L$79,M115)</f>
        <v>1</v>
      </c>
      <c r="Q115" s="65">
        <f>+COUNTIFS($G$9:$G$79,$M$97,$M$9:$M$79,M115)+COUNTIFS($G$9:$G$78,$M$98,$M$9:$M$78,M115)+COUNTIFS($G$9:$G$78,$N$98,$M$9:$M$78,M115)+COUNTIFS($G$9:$G$78,$M$99,$M$9:$M$78,M115)</f>
        <v>3</v>
      </c>
      <c r="R115" s="65">
        <f>+COUNTIFS($G$9:$G$79,$N$97,$M$9:$M$79,M115)</f>
        <v>0</v>
      </c>
    </row>
    <row r="116" spans="13:18" x14ac:dyDescent="0.25">
      <c r="M116" s="71" t="s">
        <v>583</v>
      </c>
      <c r="N116" s="65">
        <f>+COUNTIFS($M$9:$M$79,M116)</f>
        <v>10</v>
      </c>
      <c r="O116" s="66">
        <f>+COUNTIFS($M$9:$M$79,M116,$G$9:$G$79,$M$96)</f>
        <v>5</v>
      </c>
      <c r="P116" s="65">
        <f>+COUNTIFS($G$9:$G$79,$N$96,$M$9:$M$79,M116)+COUNTIFS($G$9:$G$79,$N$99,$M$9:$M$79,M116)</f>
        <v>0</v>
      </c>
      <c r="Q116" s="65">
        <f>+COUNTIFS($G$9:$G$79,$M$97,$M$9:$M$79,M116)+COUNTIFS($G$9:$G$78,$M$98,$M$9:$M$78,M116)+COUNTIFS($G$9:$G$78,$N$98,$M$9:$M$78,M116)+COUNTIFS($G$9:$G$78,$M$99,$M$9:$M$78,M116)</f>
        <v>3</v>
      </c>
      <c r="R116" s="65">
        <f>+COUNTIFS($G$9:$G$79,$N$97,$M$9:$M$79,M116)</f>
        <v>2</v>
      </c>
    </row>
    <row r="117" spans="13:18" ht="15.75" thickBot="1" x14ac:dyDescent="0.3">
      <c r="M117" s="287" t="s">
        <v>582</v>
      </c>
      <c r="N117" s="65">
        <f>+COUNTIFS($M$9:$M$79,M117)</f>
        <v>21</v>
      </c>
      <c r="O117" s="278">
        <f>+COUNTIFS($M$9:$M$79,M117,$G$9:$G$79,$M$96)</f>
        <v>7</v>
      </c>
      <c r="P117" s="65">
        <f>+COUNTIFS($G$9:$G$79,$N$96,$M$9:$M$79,M117)+COUNTIFS($G$9:$G$79,$N$99,$M$9:$M$79,M117)</f>
        <v>1</v>
      </c>
      <c r="Q117" s="279">
        <f>+COUNTIFS($G$9:$G$79,$M$97,$M$9:$M$79,M117)+COUNTIFS($G$9:$G$78,$M$98,$M$9:$M$78,M117)+COUNTIFS($G$9:$G$78,$N$98,$M$9:$M$78,M117)+COUNTIFS($G$9:$G$78,$M$99,$M$9:$M$78,M117)</f>
        <v>8</v>
      </c>
      <c r="R117" s="279">
        <f>+COUNTIFS($G$9:$G$79,$N$97,$M$9:$M$79,M117)</f>
        <v>5</v>
      </c>
    </row>
    <row r="118" spans="13:18" ht="15.75" thickTop="1" x14ac:dyDescent="0.25">
      <c r="M118" s="280" t="s">
        <v>522</v>
      </c>
      <c r="N118" s="280">
        <f>SUM(N115:N117)</f>
        <v>36</v>
      </c>
      <c r="O118" s="281">
        <f>SUM(O115:O117)</f>
        <v>13</v>
      </c>
      <c r="P118" s="282">
        <f>SUM(P115:P117)</f>
        <v>2</v>
      </c>
      <c r="Q118" s="282">
        <f>SUM(Q115:Q117)</f>
        <v>14</v>
      </c>
      <c r="R118" s="282">
        <f>SUM(R115:R117)</f>
        <v>7</v>
      </c>
    </row>
    <row r="154" spans="3:8" x14ac:dyDescent="0.25">
      <c r="C154" s="62" t="s">
        <v>585</v>
      </c>
      <c r="D154" s="62" t="s">
        <v>518</v>
      </c>
      <c r="E154" s="63" t="s">
        <v>13</v>
      </c>
      <c r="F154" s="62" t="s">
        <v>520</v>
      </c>
      <c r="G154" s="62" t="s">
        <v>521</v>
      </c>
      <c r="H154" s="64" t="s">
        <v>14</v>
      </c>
    </row>
    <row r="155" spans="3:8" x14ac:dyDescent="0.25">
      <c r="C155" s="71" t="s">
        <v>584</v>
      </c>
      <c r="D155" s="65">
        <f>+COUNTIFS($M$9:$M$86,C155)</f>
        <v>5</v>
      </c>
      <c r="E155" s="66">
        <f>+COUNTIFS($M$9:$M$86,C155,$G$9:$G$86,$M$96)</f>
        <v>1</v>
      </c>
      <c r="F155" s="65">
        <f>+COUNTIFS($G$9:$G$86,$N$96,$M$9:$M$86,C155)+COUNTIFS($G$9:$G$86,$N$99,$L$9:$L$86,C155)</f>
        <v>1</v>
      </c>
      <c r="G155" s="65">
        <f>+COUNTIFS($G$9:$G$86,$M$97,$M$9:$M$86,C155)+COUNTIFS($G$9:$G$86,$M$98,$M$9:$M$86,C155)+COUNTIFS($G$9:$G$86,$N$98,$M$9:$M$86,C155)+COUNTIFS($G$9:$G$86,$M$99,$M$9:$M$86,C155)</f>
        <v>3</v>
      </c>
      <c r="H155" s="65">
        <f>+COUNTIFS($G$9:$G$86,$N$97,$M$9:$M$86,C155)</f>
        <v>0</v>
      </c>
    </row>
    <row r="156" spans="3:8" x14ac:dyDescent="0.25">
      <c r="C156" s="71" t="s">
        <v>583</v>
      </c>
      <c r="D156" s="65">
        <f>+COUNTIFS($M$9:$M$86,C156)</f>
        <v>10</v>
      </c>
      <c r="E156" s="66">
        <f>+COUNTIFS($M$9:$M$86,C156,$G$9:$G$86,$M$96)</f>
        <v>5</v>
      </c>
      <c r="F156" s="65">
        <f>+COUNTIFS($G$9:$G$86,$N$96,$M$9:$M$86,C156)+COUNTIFS($G$9:$G$86,$N$99,$L$9:$L$86,C156)</f>
        <v>0</v>
      </c>
      <c r="G156" s="65">
        <f>+COUNTIFS($G$9:$G$86,$M$97,$M$9:$M$86,C156)+COUNTIFS($G$9:$G$86,$M$98,$M$9:$M$86,C156)+COUNTIFS($G$9:$G$86,$N$98,$M$9:$M$86,C156)+COUNTIFS($G$9:$G$86,$M$99,$M$9:$M$86,C156)</f>
        <v>3</v>
      </c>
      <c r="H156" s="65">
        <f>+COUNTIFS($G$9:$G$86,$N$97,$M$9:$M$86,C156)</f>
        <v>2</v>
      </c>
    </row>
    <row r="157" spans="3:8" ht="15.75" thickBot="1" x14ac:dyDescent="0.3">
      <c r="C157" s="287" t="s">
        <v>582</v>
      </c>
      <c r="D157" s="65">
        <f>+COUNTIFS($M$9:$M$86,C157)</f>
        <v>21</v>
      </c>
      <c r="E157" s="66">
        <f>+COUNTIFS($M$9:$M$86,C157,$G$9:$G$86,$M$96)</f>
        <v>7</v>
      </c>
      <c r="F157" s="65">
        <f>+COUNTIFS($G$9:$G$86,$N$96,$M$9:$M$86,C157)+COUNTIFS($G$9:$G$86,$N$99,$L$9:$L$86,C157)</f>
        <v>1</v>
      </c>
      <c r="G157" s="65">
        <f>+COUNTIFS($G$9:$G$86,$M$97,$M$9:$M$86,C157)+COUNTIFS($G$9:$G$86,$M$98,$M$9:$M$86,C157)+COUNTIFS($G$9:$G$86,$N$98,$M$9:$M$86,C157)+COUNTIFS($G$9:$G$86,$M$99,$M$9:$M$86,C157)</f>
        <v>8</v>
      </c>
      <c r="H157" s="65">
        <f>+COUNTIFS($G$9:$G$86,$N$97,$M$9:$M$86,C157)</f>
        <v>5</v>
      </c>
    </row>
    <row r="158" spans="3:8" ht="15.75" thickTop="1" x14ac:dyDescent="0.25">
      <c r="C158" s="280" t="s">
        <v>522</v>
      </c>
      <c r="D158" s="280">
        <f>SUM(D155:D157)</f>
        <v>36</v>
      </c>
      <c r="E158" s="281">
        <f>SUM(E155:E157)</f>
        <v>13</v>
      </c>
      <c r="F158" s="282">
        <f>SUM(F155:F157)</f>
        <v>2</v>
      </c>
      <c r="G158" s="282">
        <f>SUM(G155:G157)</f>
        <v>14</v>
      </c>
      <c r="H158" s="282">
        <f>SUM(H155:H157)</f>
        <v>7</v>
      </c>
    </row>
  </sheetData>
  <autoFilter ref="A8:N85" xr:uid="{00000000-0009-0000-0000-00000D000000}"/>
  <mergeCells count="6">
    <mergeCell ref="C93:H94"/>
    <mergeCell ref="A2:J2"/>
    <mergeCell ref="A3:J3"/>
    <mergeCell ref="A5:J5"/>
    <mergeCell ref="A6:J6"/>
    <mergeCell ref="D4:G4"/>
  </mergeCells>
  <dataValidations count="1">
    <dataValidation type="list" allowBlank="1" showInputMessage="1" showErrorMessage="1" sqref="I9:I91 H56:H57 H22 H32:H33 H37:H38 H44:H47 H50:H52 H67:H75 H77:H91" xr:uid="{00000000-0002-0000-0D00-000001000000}">
      <formula1>#REF!</formula1>
    </dataValidation>
  </dataValidations>
  <printOptions horizontalCentered="1"/>
  <pageMargins left="0.31496062992125984" right="0.31496062992125984" top="0.55118110236220474" bottom="0.55118110236220474" header="0.31496062992125984" footer="0.31496062992125984"/>
  <pageSetup scale="63" fitToHeight="3" orientation="landscape" r:id="rId1"/>
  <rowBreaks count="1" manualBreakCount="1">
    <brk id="9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'\\SRODRIGUEZPC\Users\sonia.rodriguez\Desktop\Archivos Comparitdos\Sistematizacion\Matriz Seguimiento Mensual\[Resumen Mensual Ing. Gregory Perez.xlsx]Datos de Referencia'!#REF!</xm:f>
          </x14:formula1>
          <xm:sqref>G16:G28 G9:H14 G30:G57 H23:H28 H16:H21 H30:H31 H34:H36 H39:H43 H48:H49 H53:H55 H64:H66 H76 G58:H63 G29:H29 G64:G71 K9:K91 G73:G91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tabColor rgb="FFFF0000"/>
  </sheetPr>
  <dimension ref="A2:M46"/>
  <sheetViews>
    <sheetView tabSelected="1" workbookViewId="0">
      <selection activeCell="F5" sqref="F5"/>
    </sheetView>
  </sheetViews>
  <sheetFormatPr baseColWidth="10" defaultColWidth="11.42578125" defaultRowHeight="15" x14ac:dyDescent="0.25"/>
  <cols>
    <col min="1" max="1" width="6.28515625" style="38" bestFit="1" customWidth="1"/>
    <col min="2" max="2" width="20.140625" style="7" customWidth="1"/>
    <col min="3" max="3" width="28.7109375" customWidth="1"/>
    <col min="4" max="4" width="21.85546875" customWidth="1"/>
    <col min="5" max="5" width="19.5703125" customWidth="1"/>
    <col min="6" max="6" width="48.42578125" customWidth="1"/>
    <col min="7" max="7" width="19.7109375" customWidth="1"/>
    <col min="8" max="8" width="20.5703125" customWidth="1"/>
    <col min="10" max="10" width="12.85546875" customWidth="1"/>
    <col min="11" max="11" width="14.140625" customWidth="1"/>
    <col min="12" max="14" width="11.42578125" customWidth="1"/>
  </cols>
  <sheetData>
    <row r="2" spans="1:11" ht="15.75" x14ac:dyDescent="0.25">
      <c r="A2" s="381" t="s">
        <v>523</v>
      </c>
      <c r="B2" s="381"/>
      <c r="C2" s="381"/>
      <c r="D2" s="381"/>
      <c r="E2" s="381"/>
      <c r="F2" s="381"/>
      <c r="G2" s="381"/>
      <c r="H2" s="381"/>
      <c r="I2" s="381"/>
      <c r="J2" s="381"/>
    </row>
    <row r="3" spans="1:11" ht="21" customHeight="1" x14ac:dyDescent="0.25">
      <c r="A3" s="381" t="s">
        <v>517</v>
      </c>
      <c r="B3" s="381"/>
      <c r="C3" s="381"/>
      <c r="D3" s="381"/>
      <c r="E3" s="381"/>
      <c r="F3" s="381"/>
      <c r="G3" s="381"/>
      <c r="H3" s="381"/>
      <c r="I3" s="381"/>
      <c r="J3" s="381"/>
    </row>
    <row r="4" spans="1:11" ht="21" customHeight="1" x14ac:dyDescent="0.25">
      <c r="C4" s="173"/>
      <c r="D4" s="405" t="s">
        <v>737</v>
      </c>
      <c r="E4" s="405"/>
      <c r="F4" s="405"/>
      <c r="G4" s="376"/>
      <c r="H4" s="376"/>
      <c r="I4" s="173"/>
    </row>
    <row r="5" spans="1:11" ht="23.25" customHeight="1" x14ac:dyDescent="0.25"/>
    <row r="6" spans="1:11" ht="15" customHeight="1" x14ac:dyDescent="0.25">
      <c r="C6" s="404" t="s">
        <v>524</v>
      </c>
      <c r="D6" s="404"/>
      <c r="E6" s="404"/>
      <c r="F6" s="404"/>
      <c r="G6" s="404"/>
      <c r="H6" s="404"/>
    </row>
    <row r="7" spans="1:11" ht="15" customHeight="1" x14ac:dyDescent="0.25">
      <c r="C7" s="105"/>
      <c r="D7" s="406" t="s">
        <v>739</v>
      </c>
      <c r="E7" s="406"/>
      <c r="F7" s="406"/>
      <c r="G7" s="377"/>
      <c r="H7" s="377"/>
    </row>
    <row r="8" spans="1:11" ht="31.5" customHeight="1" x14ac:dyDescent="0.25">
      <c r="A8" s="79" t="s">
        <v>107</v>
      </c>
      <c r="B8" s="17" t="s">
        <v>74</v>
      </c>
      <c r="C8" s="17" t="s">
        <v>109</v>
      </c>
      <c r="D8" s="17" t="s">
        <v>110</v>
      </c>
      <c r="E8" s="17" t="s">
        <v>525</v>
      </c>
      <c r="F8" s="17" t="s">
        <v>526</v>
      </c>
      <c r="G8" s="17" t="s">
        <v>78</v>
      </c>
      <c r="H8" s="17" t="s">
        <v>527</v>
      </c>
      <c r="I8" s="17" t="s">
        <v>119</v>
      </c>
      <c r="J8" s="18" t="s">
        <v>120</v>
      </c>
      <c r="K8" s="70" t="s">
        <v>528</v>
      </c>
    </row>
    <row r="9" spans="1:11" ht="15.75" x14ac:dyDescent="0.25">
      <c r="A9" s="103">
        <v>1</v>
      </c>
      <c r="B9" s="137" t="str">
        <f>'Seguimiento Julio 2024'!C46</f>
        <v>Distrito Nacional</v>
      </c>
      <c r="C9" s="137" t="s">
        <v>197</v>
      </c>
      <c r="D9" s="137" t="s">
        <v>198</v>
      </c>
      <c r="E9" s="143" t="s">
        <v>199</v>
      </c>
      <c r="F9" s="143" t="s">
        <v>571</v>
      </c>
      <c r="G9" s="143" t="str">
        <f>'Seguimiento Julio 2024'!H46</f>
        <v>Inaugurado</v>
      </c>
      <c r="H9" s="213"/>
      <c r="I9" s="81" t="str">
        <f>'Seguimiento Julio 2024'!P46</f>
        <v>1ER</v>
      </c>
      <c r="J9" s="82">
        <f>'Seguimiento Julio 2024'!Q46</f>
        <v>1</v>
      </c>
      <c r="K9" s="65" t="s">
        <v>529</v>
      </c>
    </row>
    <row r="10" spans="1:11" ht="15.75" x14ac:dyDescent="0.25">
      <c r="A10" s="104">
        <v>2</v>
      </c>
      <c r="B10" s="137" t="str">
        <f>'Seguimiento Julio 2024'!C47</f>
        <v>Distrito Nacional</v>
      </c>
      <c r="C10" s="139" t="s">
        <v>197</v>
      </c>
      <c r="D10" s="139" t="s">
        <v>198</v>
      </c>
      <c r="E10" s="140" t="s">
        <v>530</v>
      </c>
      <c r="F10" s="140" t="s">
        <v>570</v>
      </c>
      <c r="G10" s="140" t="str">
        <f>'Seguimiento Julio 2024'!H47</f>
        <v>Inaugurado</v>
      </c>
      <c r="H10" s="209"/>
      <c r="I10" s="84" t="str">
        <f>'Seguimiento Julio 2024'!P47</f>
        <v>1ER</v>
      </c>
      <c r="J10" s="85">
        <f>'Seguimiento Julio 2024'!Q47</f>
        <v>1</v>
      </c>
      <c r="K10" s="71" t="s">
        <v>531</v>
      </c>
    </row>
    <row r="11" spans="1:11" ht="15.75" x14ac:dyDescent="0.25">
      <c r="A11" s="104">
        <v>3</v>
      </c>
      <c r="B11" s="137" t="str">
        <f>'Seguimiento Julio 2024'!C48</f>
        <v>Distrito Nacional</v>
      </c>
      <c r="C11" s="139" t="s">
        <v>197</v>
      </c>
      <c r="D11" s="139" t="s">
        <v>198</v>
      </c>
      <c r="E11" s="140" t="s">
        <v>569</v>
      </c>
      <c r="F11" s="140" t="s">
        <v>572</v>
      </c>
      <c r="G11" s="140" t="str">
        <f>'Seguimiento Julio 2024'!H48</f>
        <v>Inaugurado</v>
      </c>
      <c r="H11" s="209"/>
      <c r="I11" s="84" t="str">
        <f>'Seguimiento Julio 2024'!P48</f>
        <v>1ER</v>
      </c>
      <c r="J11" s="85">
        <f>'Seguimiento Julio 2024'!Q48</f>
        <v>1</v>
      </c>
      <c r="K11" s="71" t="s">
        <v>531</v>
      </c>
    </row>
    <row r="12" spans="1:11" ht="15.75" x14ac:dyDescent="0.25">
      <c r="A12" s="104">
        <v>4</v>
      </c>
      <c r="B12" s="137" t="str">
        <f>'Seguimiento Julio 2024'!C49</f>
        <v>Distrito Nacional</v>
      </c>
      <c r="C12" s="139" t="s">
        <v>197</v>
      </c>
      <c r="D12" s="139" t="s">
        <v>198</v>
      </c>
      <c r="E12" s="140" t="s">
        <v>205</v>
      </c>
      <c r="F12" s="140" t="s">
        <v>205</v>
      </c>
      <c r="G12" s="140" t="str">
        <f>'Seguimiento Julio 2024'!H49</f>
        <v>Sin Iniciar</v>
      </c>
      <c r="H12" s="209" t="str">
        <f>'Seguimiento Julio 2024'!I49</f>
        <v xml:space="preserve">Sin Propuesta </v>
      </c>
      <c r="I12" s="84" t="str">
        <f>'Seguimiento Julio 2024'!P49</f>
        <v>2DO</v>
      </c>
      <c r="J12" s="85">
        <f>'Seguimiento Julio 2024'!Q49</f>
        <v>0</v>
      </c>
      <c r="K12" s="71" t="s">
        <v>531</v>
      </c>
    </row>
    <row r="13" spans="1:11" ht="15.75" x14ac:dyDescent="0.25">
      <c r="A13" s="104">
        <v>5</v>
      </c>
      <c r="B13" s="137" t="str">
        <f>'Seguimiento Julio 2024'!C50</f>
        <v>Distrito Nacional</v>
      </c>
      <c r="C13" s="139" t="s">
        <v>197</v>
      </c>
      <c r="D13" s="139" t="s">
        <v>198</v>
      </c>
      <c r="E13" s="140" t="s">
        <v>206</v>
      </c>
      <c r="F13" s="140" t="s">
        <v>206</v>
      </c>
      <c r="G13" s="140" t="str">
        <f>'Seguimiento Julio 2024'!H50</f>
        <v>Sin Iniciar</v>
      </c>
      <c r="H13" s="209" t="str">
        <f>'Seguimiento Julio 2024'!I50</f>
        <v xml:space="preserve">Sin Propuesta </v>
      </c>
      <c r="I13" s="84" t="str">
        <f>'Seguimiento Julio 2024'!P50</f>
        <v>1ER</v>
      </c>
      <c r="J13" s="85">
        <f>'Seguimiento Julio 2024'!Q50</f>
        <v>0</v>
      </c>
      <c r="K13" s="65" t="s">
        <v>529</v>
      </c>
    </row>
    <row r="14" spans="1:11" ht="31.5" x14ac:dyDescent="0.25">
      <c r="A14" s="103">
        <v>6</v>
      </c>
      <c r="B14" s="137" t="str">
        <f>'Seguimiento Julio 2024'!C99</f>
        <v>Santo Domingo</v>
      </c>
      <c r="C14" s="139" t="s">
        <v>197</v>
      </c>
      <c r="D14" s="139" t="s">
        <v>198</v>
      </c>
      <c r="E14" s="140" t="s">
        <v>207</v>
      </c>
      <c r="F14" s="140" t="s">
        <v>207</v>
      </c>
      <c r="G14" s="140" t="str">
        <f>'Seguimiento Julio 2024'!H99</f>
        <v>Sin Iniciar</v>
      </c>
      <c r="H14" s="209" t="str">
        <f>'Seguimiento Julio 2024'!I99</f>
        <v xml:space="preserve">Con Propuesta de Donación </v>
      </c>
      <c r="I14" s="84" t="str">
        <f>'Seguimiento Julio 2024'!P99</f>
        <v>1ER</v>
      </c>
      <c r="J14" s="85">
        <f>'Seguimiento Julio 2024'!Q99</f>
        <v>0</v>
      </c>
      <c r="K14" s="65" t="s">
        <v>529</v>
      </c>
    </row>
    <row r="15" spans="1:11" ht="31.5" x14ac:dyDescent="0.25">
      <c r="A15" s="104">
        <v>7</v>
      </c>
      <c r="B15" s="137" t="str">
        <f>'Seguimiento Julio 2024'!C66</f>
        <v>Santo Domingo</v>
      </c>
      <c r="C15" s="139" t="s">
        <v>197</v>
      </c>
      <c r="D15" s="139" t="s">
        <v>198</v>
      </c>
      <c r="E15" s="140" t="s">
        <v>207</v>
      </c>
      <c r="F15" s="140" t="s">
        <v>207</v>
      </c>
      <c r="G15" s="140" t="str">
        <f>'Seguimiento Julio 2024'!H66</f>
        <v>Sin Iniciar</v>
      </c>
      <c r="H15" s="209" t="str">
        <f>'Seguimiento Julio 2024'!I66</f>
        <v xml:space="preserve">Con Propuesta de Donación </v>
      </c>
      <c r="I15" s="84" t="str">
        <f>'Seguimiento Julio 2024'!P66</f>
        <v>2DO</v>
      </c>
      <c r="J15" s="85">
        <f>'Seguimiento Julio 2024'!Q66</f>
        <v>0</v>
      </c>
      <c r="K15" s="65" t="s">
        <v>529</v>
      </c>
    </row>
    <row r="16" spans="1:11" ht="31.5" x14ac:dyDescent="0.25">
      <c r="A16" s="104">
        <v>8</v>
      </c>
      <c r="B16" s="137" t="str">
        <f>'Seguimiento Julio 2024'!C51</f>
        <v>Distrito Nacional</v>
      </c>
      <c r="C16" s="139" t="s">
        <v>197</v>
      </c>
      <c r="D16" s="139" t="s">
        <v>198</v>
      </c>
      <c r="E16" s="140" t="s">
        <v>208</v>
      </c>
      <c r="F16" s="140" t="s">
        <v>208</v>
      </c>
      <c r="G16" s="140" t="str">
        <f>'Seguimiento Julio 2024'!H51</f>
        <v>Sin Iniciar</v>
      </c>
      <c r="H16" s="209" t="str">
        <f>'Seguimiento Julio 2024'!I51</f>
        <v xml:space="preserve">Sin Propuesta </v>
      </c>
      <c r="I16" s="84" t="str">
        <f>'Seguimiento Julio 2024'!P51</f>
        <v>1ER</v>
      </c>
      <c r="J16" s="85">
        <f>'Seguimiento Julio 2024'!Q51</f>
        <v>0</v>
      </c>
      <c r="K16" s="65" t="s">
        <v>529</v>
      </c>
    </row>
    <row r="17" spans="1:11" ht="15.75" x14ac:dyDescent="0.25">
      <c r="A17" s="104">
        <v>9</v>
      </c>
      <c r="B17" s="137" t="str">
        <f>'Seguimiento Julio 2024'!C52</f>
        <v>Distrito Nacional</v>
      </c>
      <c r="C17" s="139" t="s">
        <v>197</v>
      </c>
      <c r="D17" s="139" t="s">
        <v>198</v>
      </c>
      <c r="E17" s="140" t="s">
        <v>209</v>
      </c>
      <c r="F17" s="140" t="s">
        <v>209</v>
      </c>
      <c r="G17" s="140" t="str">
        <f>'Seguimiento Julio 2024'!H52</f>
        <v>Sin Iniciar</v>
      </c>
      <c r="H17" s="209" t="str">
        <f>'Seguimiento Julio 2024'!I52</f>
        <v xml:space="preserve">Sin Propuesta </v>
      </c>
      <c r="I17" s="84" t="str">
        <f>'Seguimiento Julio 2024'!P52</f>
        <v>2DO</v>
      </c>
      <c r="J17" s="85">
        <f>'Seguimiento Julio 2024'!Q52</f>
        <v>0</v>
      </c>
      <c r="K17" s="65" t="s">
        <v>529</v>
      </c>
    </row>
    <row r="18" spans="1:11" ht="15.75" x14ac:dyDescent="0.25">
      <c r="A18" s="104">
        <v>10</v>
      </c>
      <c r="B18" s="137" t="str">
        <f>'Seguimiento Julio 2024'!C53</f>
        <v>Distrito Nacional</v>
      </c>
      <c r="C18" s="290" t="s">
        <v>197</v>
      </c>
      <c r="D18" s="290" t="s">
        <v>198</v>
      </c>
      <c r="E18" s="291" t="s">
        <v>211</v>
      </c>
      <c r="F18" s="291" t="s">
        <v>212</v>
      </c>
      <c r="G18" s="140" t="str">
        <f>'Seguimiento Julio 2024'!H53</f>
        <v>Detenido</v>
      </c>
      <c r="H18" s="209"/>
      <c r="I18" s="84" t="str">
        <f>'Seguimiento Julio 2024'!P53</f>
        <v>1ER</v>
      </c>
      <c r="J18" s="85">
        <f>'Seguimiento Julio 2024'!Q53</f>
        <v>0.05</v>
      </c>
      <c r="K18" s="71" t="s">
        <v>531</v>
      </c>
    </row>
    <row r="19" spans="1:11" ht="15.75" x14ac:dyDescent="0.25">
      <c r="A19" s="103">
        <v>11</v>
      </c>
      <c r="B19" s="137" t="str">
        <f>'Seguimiento Julio 2024'!C54</f>
        <v>Distrito Nacional</v>
      </c>
      <c r="C19" s="139" t="s">
        <v>197</v>
      </c>
      <c r="D19" s="139" t="s">
        <v>198</v>
      </c>
      <c r="E19" s="140" t="s">
        <v>213</v>
      </c>
      <c r="F19" s="140" t="s">
        <v>213</v>
      </c>
      <c r="G19" s="140" t="str">
        <f>'Seguimiento Julio 2024'!H54</f>
        <v>Detenido</v>
      </c>
      <c r="H19" s="209"/>
      <c r="I19" s="84" t="str">
        <f>'Seguimiento Julio 2024'!P54</f>
        <v>1ER</v>
      </c>
      <c r="J19" s="85">
        <f>'Seguimiento Julio 2024'!Q54</f>
        <v>0.05</v>
      </c>
      <c r="K19" s="71" t="s">
        <v>531</v>
      </c>
    </row>
    <row r="20" spans="1:11" ht="15.75" x14ac:dyDescent="0.25">
      <c r="A20" s="104">
        <v>12</v>
      </c>
      <c r="B20" s="137" t="str">
        <f>'Seguimiento Julio 2024'!C55</f>
        <v>Distrito Nacional</v>
      </c>
      <c r="C20" s="139" t="s">
        <v>197</v>
      </c>
      <c r="D20" s="139" t="s">
        <v>198</v>
      </c>
      <c r="E20" s="140" t="s">
        <v>214</v>
      </c>
      <c r="F20" s="140" t="s">
        <v>214</v>
      </c>
      <c r="G20" s="140" t="str">
        <f>'Seguimiento Julio 2024'!H55</f>
        <v>Sin Iniciar</v>
      </c>
      <c r="H20" s="209" t="str">
        <f>'Seguimiento Julio 2024'!I55</f>
        <v xml:space="preserve">Con Propuesta </v>
      </c>
      <c r="I20" s="84" t="str">
        <f>'Seguimiento Julio 2024'!P55</f>
        <v>2DO</v>
      </c>
      <c r="J20" s="85">
        <f>'Seguimiento Julio 2024'!Q55</f>
        <v>0</v>
      </c>
      <c r="K20" s="71" t="s">
        <v>531</v>
      </c>
    </row>
    <row r="21" spans="1:11" ht="15.75" x14ac:dyDescent="0.25">
      <c r="A21" s="104">
        <v>13</v>
      </c>
      <c r="B21" s="137" t="str">
        <f>'Seguimiento Julio 2024'!C96</f>
        <v>Santo Domingo</v>
      </c>
      <c r="C21" s="139" t="s">
        <v>197</v>
      </c>
      <c r="D21" s="139" t="s">
        <v>198</v>
      </c>
      <c r="E21" s="140" t="s">
        <v>215</v>
      </c>
      <c r="F21" s="140" t="s">
        <v>216</v>
      </c>
      <c r="G21" s="140" t="str">
        <f>'Seguimiento Julio 2024'!H96</f>
        <v>Sin Iniciar</v>
      </c>
      <c r="H21" s="209" t="str">
        <f>'Seguimiento Julio 2024'!I96</f>
        <v xml:space="preserve">Sin Propuesta </v>
      </c>
      <c r="I21" s="84" t="str">
        <f>'Seguimiento Julio 2024'!P96</f>
        <v>2DO</v>
      </c>
      <c r="J21" s="85">
        <f>'Seguimiento Julio 2024'!Q96</f>
        <v>0</v>
      </c>
      <c r="K21" s="71" t="s">
        <v>531</v>
      </c>
    </row>
    <row r="22" spans="1:11" ht="31.5" x14ac:dyDescent="0.25">
      <c r="A22" s="104">
        <v>14</v>
      </c>
      <c r="B22" s="137" t="str">
        <f>'Seguimiento Julio 2024'!C97</f>
        <v>Santo Domingo</v>
      </c>
      <c r="C22" s="139" t="s">
        <v>197</v>
      </c>
      <c r="D22" s="139" t="s">
        <v>198</v>
      </c>
      <c r="E22" s="140" t="s">
        <v>217</v>
      </c>
      <c r="F22" s="140" t="s">
        <v>218</v>
      </c>
      <c r="G22" s="140" t="str">
        <f>'Seguimiento Julio 2024'!H97</f>
        <v>Sin Iniciar</v>
      </c>
      <c r="H22" s="209" t="str">
        <f>'Seguimiento Julio 2024'!I97</f>
        <v xml:space="preserve">Sin Propuesta </v>
      </c>
      <c r="I22" s="84" t="str">
        <f>'Seguimiento Julio 2024'!P97</f>
        <v>2DO</v>
      </c>
      <c r="J22" s="85">
        <f>'Seguimiento Julio 2024'!Q97</f>
        <v>0</v>
      </c>
      <c r="K22" s="71" t="s">
        <v>532</v>
      </c>
    </row>
    <row r="23" spans="1:11" x14ac:dyDescent="0.25">
      <c r="A23" s="104"/>
      <c r="B23" s="83"/>
      <c r="C23" s="83"/>
      <c r="D23" s="83"/>
      <c r="E23" s="84"/>
      <c r="F23" s="84"/>
      <c r="G23" s="84"/>
      <c r="H23" s="84"/>
      <c r="I23" s="84"/>
      <c r="J23" s="85"/>
      <c r="K23" s="65"/>
    </row>
    <row r="24" spans="1:11" x14ac:dyDescent="0.25">
      <c r="A24" s="104"/>
      <c r="B24" s="83"/>
      <c r="C24" s="83"/>
      <c r="D24" s="83"/>
      <c r="E24" s="84"/>
      <c r="F24" s="84"/>
      <c r="G24" s="84"/>
      <c r="H24" s="84"/>
      <c r="I24" s="84"/>
      <c r="J24" s="85"/>
      <c r="K24" s="65"/>
    </row>
    <row r="25" spans="1:11" x14ac:dyDescent="0.25">
      <c r="A25" s="104"/>
      <c r="B25" s="83"/>
      <c r="C25" s="83"/>
      <c r="D25" s="83"/>
      <c r="E25" s="84"/>
      <c r="F25" s="84"/>
      <c r="G25" s="84"/>
      <c r="H25" s="84"/>
      <c r="I25" s="84"/>
      <c r="J25" s="85"/>
      <c r="K25" s="65"/>
    </row>
    <row r="26" spans="1:11" x14ac:dyDescent="0.25">
      <c r="A26" s="104"/>
      <c r="B26" s="83"/>
      <c r="C26" s="83"/>
      <c r="D26" s="83"/>
      <c r="E26" s="84"/>
      <c r="F26" s="84"/>
      <c r="G26" s="84"/>
      <c r="H26" s="84"/>
      <c r="I26" s="84"/>
      <c r="J26" s="85"/>
      <c r="K26" s="65"/>
    </row>
    <row r="27" spans="1:11" x14ac:dyDescent="0.25">
      <c r="A27" s="104"/>
      <c r="B27" s="83"/>
      <c r="C27" s="83"/>
      <c r="D27" s="83"/>
      <c r="E27" s="84"/>
      <c r="F27" s="84"/>
      <c r="G27" s="84"/>
      <c r="H27" s="84"/>
      <c r="I27" s="84"/>
      <c r="J27" s="85"/>
      <c r="K27" s="65"/>
    </row>
    <row r="28" spans="1:11" x14ac:dyDescent="0.25">
      <c r="A28" s="104"/>
      <c r="B28" s="83"/>
      <c r="C28" s="83"/>
      <c r="D28" s="83"/>
      <c r="E28" s="84"/>
      <c r="F28" s="84"/>
      <c r="G28" s="84"/>
      <c r="H28" s="84"/>
      <c r="I28" s="84"/>
      <c r="J28" s="85"/>
      <c r="K28" s="71"/>
    </row>
    <row r="29" spans="1:11" x14ac:dyDescent="0.25">
      <c r="A29" s="104"/>
      <c r="B29" s="83"/>
      <c r="C29" s="83"/>
      <c r="D29" s="83"/>
      <c r="E29" s="84"/>
      <c r="F29" s="84"/>
      <c r="G29" s="84"/>
      <c r="H29" s="84"/>
      <c r="I29" s="84"/>
      <c r="J29" s="85"/>
      <c r="K29" s="71"/>
    </row>
    <row r="30" spans="1:11" x14ac:dyDescent="0.25">
      <c r="A30" s="104"/>
      <c r="B30" s="83"/>
      <c r="C30" s="83"/>
      <c r="D30" s="83"/>
      <c r="E30" s="84"/>
      <c r="F30" s="84"/>
      <c r="G30" s="84"/>
      <c r="H30" s="84"/>
      <c r="I30" s="84"/>
      <c r="J30" s="85"/>
      <c r="K30" s="71"/>
    </row>
    <row r="31" spans="1:11" x14ac:dyDescent="0.25">
      <c r="A31" s="104"/>
      <c r="B31" s="83"/>
      <c r="C31" s="83"/>
      <c r="D31" s="83"/>
      <c r="E31" s="84"/>
      <c r="F31" s="84"/>
      <c r="G31" s="84"/>
      <c r="H31" s="84"/>
      <c r="I31" s="84"/>
      <c r="J31" s="85"/>
      <c r="K31" s="71"/>
    </row>
    <row r="33" spans="2:13" ht="18.75" x14ac:dyDescent="0.25">
      <c r="B33" s="184" t="s">
        <v>568</v>
      </c>
      <c r="C33" s="185"/>
      <c r="D33" s="185"/>
      <c r="E33" s="185"/>
      <c r="F33" s="185"/>
    </row>
    <row r="36" spans="2:13" ht="24" customHeight="1" x14ac:dyDescent="0.25">
      <c r="B36" s="40"/>
      <c r="C36" s="40"/>
      <c r="D36" s="40"/>
      <c r="E36" s="403" t="s">
        <v>523</v>
      </c>
      <c r="F36" s="403"/>
      <c r="G36" s="403"/>
    </row>
    <row r="37" spans="2:13" x14ac:dyDescent="0.25">
      <c r="B37"/>
      <c r="E37" s="403"/>
      <c r="F37" s="403"/>
      <c r="G37" s="403"/>
    </row>
    <row r="38" spans="2:13" ht="15.75" x14ac:dyDescent="0.25">
      <c r="C38" s="7"/>
      <c r="D38" s="78"/>
      <c r="E38" s="78"/>
      <c r="F38" s="173" t="s">
        <v>517</v>
      </c>
    </row>
    <row r="39" spans="2:13" ht="15.75" customHeight="1" x14ac:dyDescent="0.25">
      <c r="C39" s="40"/>
      <c r="D39" s="40"/>
      <c r="E39" s="40"/>
      <c r="F39" s="40"/>
      <c r="G39" s="40"/>
      <c r="H39" s="40"/>
    </row>
    <row r="40" spans="2:13" ht="15" customHeight="1" x14ac:dyDescent="0.25">
      <c r="C40" s="40"/>
      <c r="D40" s="40"/>
      <c r="E40" s="402" t="s">
        <v>524</v>
      </c>
      <c r="F40" s="402"/>
      <c r="G40" s="402"/>
      <c r="H40" s="402"/>
    </row>
    <row r="41" spans="2:13" ht="15" customHeight="1" x14ac:dyDescent="0.25">
      <c r="C41" s="7"/>
      <c r="D41" s="7"/>
      <c r="L41" s="1" t="s">
        <v>13</v>
      </c>
      <c r="M41" s="1" t="s">
        <v>9</v>
      </c>
    </row>
    <row r="42" spans="2:13" ht="18.75" x14ac:dyDescent="0.25">
      <c r="C42" s="72" t="s">
        <v>533</v>
      </c>
      <c r="D42" s="72" t="s">
        <v>518</v>
      </c>
      <c r="E42" s="72" t="s">
        <v>13</v>
      </c>
      <c r="F42" s="72" t="s">
        <v>520</v>
      </c>
      <c r="G42" s="72" t="s">
        <v>521</v>
      </c>
      <c r="H42" s="73" t="s">
        <v>14</v>
      </c>
      <c r="L42" s="1" t="s">
        <v>0</v>
      </c>
      <c r="M42" s="1" t="s">
        <v>14</v>
      </c>
    </row>
    <row r="43" spans="2:13" ht="15" customHeight="1" x14ac:dyDescent="0.25">
      <c r="C43" s="74" t="s">
        <v>532</v>
      </c>
      <c r="D43" s="75">
        <f>+COUNTIFS($K$9:$K$31,C43)</f>
        <v>1</v>
      </c>
      <c r="E43" s="75">
        <f>+COUNTIFS($K$9:$K$31,C43,$G$9:$G$31,$L$41)</f>
        <v>0</v>
      </c>
      <c r="F43" s="75">
        <f>+COUNTIFS(G$9:G$31,$M$44,$K$9:$K$31,C43)++COUNTIFS(G$9:G$31,$M$41,$K$9:$K$31,C43)</f>
        <v>0</v>
      </c>
      <c r="G43" s="75">
        <f>+COUNTIFS($G$9:$G$31,$L$42,$K$9:$K$31,C43)+COUNTIFS(G$9:G$31,$L$43,$K$9:$K$31,C43)+COUNTIFS(G$9:G$31,$L$44,$K$9:$K$31,C43)+COUNTIFS(G$9:G$31,$M$43,$K$9:$K$31,C43)</f>
        <v>0</v>
      </c>
      <c r="H43" s="75">
        <f>+COUNTIFS($G$9:$G$31,$M$42,$K$9:$K$31,C43)</f>
        <v>1</v>
      </c>
      <c r="L43" s="6" t="s">
        <v>534</v>
      </c>
      <c r="M43" s="6" t="s">
        <v>7</v>
      </c>
    </row>
    <row r="44" spans="2:13" ht="14.25" customHeight="1" x14ac:dyDescent="0.25">
      <c r="C44" s="76" t="s">
        <v>531</v>
      </c>
      <c r="D44" s="75">
        <f>+COUNTIFS($K$9:$K$31,C44)</f>
        <v>7</v>
      </c>
      <c r="E44" s="75">
        <f>+COUNTIFS($K$9:$K$31,C44,$G$9:$G$31,$L$41)</f>
        <v>2</v>
      </c>
      <c r="F44" s="75">
        <f>+COUNTIFS(G$9:G$31,$M$44,$K$9:$K$31,C44)++COUNTIFS(G$9:G$31,$M$41,$K$9:$K$31,C44)</f>
        <v>0</v>
      </c>
      <c r="G44" s="75">
        <f>+COUNTIFS($G$9:$G$31,$L$42,$K$9:$K$31,C44)+COUNTIFS(G$9:G$31,$L$43,$K$9:$K$31,C44)+COUNTIFS(G$9:G$31,$L$44,$K$9:$K$31,C44)+COUNTIFS(G$9:G$31,$M$43,$K$9:$K$31,C44)</f>
        <v>2</v>
      </c>
      <c r="H44" s="75">
        <f>+COUNTIFS($G$9:$G$31,$M$42,$K$9:$K$31,C44)</f>
        <v>3</v>
      </c>
      <c r="L44" s="6" t="s">
        <v>5</v>
      </c>
      <c r="M44" t="s">
        <v>535</v>
      </c>
    </row>
    <row r="45" spans="2:13" ht="15.75" x14ac:dyDescent="0.25">
      <c r="C45" s="76" t="s">
        <v>529</v>
      </c>
      <c r="D45" s="75">
        <f>+COUNTIFS($K$9:$K$31,C45)</f>
        <v>6</v>
      </c>
      <c r="E45" s="75">
        <f>+COUNTIFS($K$9:$K$31,C45,$G$9:$G$31,$L$41)</f>
        <v>1</v>
      </c>
      <c r="F45" s="75">
        <f>+COUNTIFS(G$9:G$31,$M$44,$K$9:$K$31,C45)++COUNTIFS(G$9:G$31,$M$41,$K$9:$K$31,C45)</f>
        <v>0</v>
      </c>
      <c r="G45" s="75">
        <f>+COUNTIFS($G$9:$G$31,$L$42,$K$9:$K$31,C45)+COUNTIFS(G$9:G$31,$L$43,$K$9:$K$31,C45)+COUNTIFS(G$9:G$31,$L$44,$K$9:$K$31,C45)+COUNTIFS(G$9:G$31,$M$43,$K$9:$K$31,C45)</f>
        <v>0</v>
      </c>
      <c r="H45" s="75">
        <f>+COUNTIFS($G$9:$G$31,$M$42,$K$9:$K$31,C45)</f>
        <v>5</v>
      </c>
    </row>
    <row r="46" spans="2:13" ht="20.25" customHeight="1" x14ac:dyDescent="0.35">
      <c r="C46" s="67" t="s">
        <v>519</v>
      </c>
      <c r="D46" s="68">
        <f>SUM(D43:D45)</f>
        <v>14</v>
      </c>
      <c r="E46" s="68">
        <f>SUM(E43:E45)</f>
        <v>3</v>
      </c>
      <c r="F46" s="68">
        <f>SUM(F43:F45)</f>
        <v>0</v>
      </c>
      <c r="G46" s="68">
        <f>SUM(G43:G45)</f>
        <v>2</v>
      </c>
      <c r="H46" s="68">
        <f>SUM(H43:H45)</f>
        <v>9</v>
      </c>
    </row>
  </sheetData>
  <autoFilter ref="B8:K31" xr:uid="{00000000-0009-0000-0000-00000E000000}"/>
  <mergeCells count="7">
    <mergeCell ref="A2:J2"/>
    <mergeCell ref="A3:J3"/>
    <mergeCell ref="E40:H40"/>
    <mergeCell ref="E36:G37"/>
    <mergeCell ref="C6:H6"/>
    <mergeCell ref="D4:F4"/>
    <mergeCell ref="D7:F7"/>
  </mergeCells>
  <conditionalFormatting sqref="H9:H22">
    <cfRule type="cellIs" dxfId="0" priority="1" operator="between">
      <formula>0.25</formula>
      <formula>0.5</formula>
    </cfRule>
  </conditionalFormatting>
  <dataValidations count="1">
    <dataValidation type="list" allowBlank="1" showInputMessage="1" showErrorMessage="1" sqref="H9:I31" xr:uid="{00000000-0002-0000-0E00-000001000000}">
      <formula1>#REF!</formula1>
    </dataValidation>
  </dataValidations>
  <printOptions horizontalCentered="1"/>
  <pageMargins left="0.11811023622047245" right="0.11811023622047245" top="0.55118110236220474" bottom="0.55118110236220474" header="0.31496062992125984" footer="0.31496062992125984"/>
  <pageSetup scale="57" orientation="landscape" r:id="rId1"/>
  <rowBreaks count="1" manualBreakCount="1">
    <brk id="33"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'\\SRODRIGUEZPC\Users\sonia.rodriguez\Desktop\Archivos Comparitdos\Sistematizacion\Matriz Seguimiento Mensual\[Resumen Mensual Ing. Gregory Perez.xlsx]Datos de Referencia'!#REF!</xm:f>
          </x14:formula1>
          <xm:sqref>G9:G31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3:E36"/>
  <sheetViews>
    <sheetView workbookViewId="0"/>
  </sheetViews>
  <sheetFormatPr baseColWidth="10" defaultColWidth="11.42578125" defaultRowHeight="15" x14ac:dyDescent="0.25"/>
  <cols>
    <col min="1" max="1" width="24.85546875" bestFit="1" customWidth="1"/>
    <col min="2" max="2" width="19.85546875" style="1" bestFit="1" customWidth="1"/>
    <col min="3" max="3" width="16.42578125" style="1" bestFit="1" customWidth="1"/>
    <col min="4" max="4" width="13.7109375" style="1" bestFit="1" customWidth="1"/>
    <col min="5" max="5" width="17.140625" style="1" customWidth="1"/>
  </cols>
  <sheetData>
    <row r="3" spans="1:5" s="8" customFormat="1" ht="30" x14ac:dyDescent="0.25">
      <c r="A3" s="12" t="s">
        <v>74</v>
      </c>
      <c r="B3" s="8" t="s">
        <v>546</v>
      </c>
      <c r="C3" s="8" t="s">
        <v>547</v>
      </c>
      <c r="D3" s="8" t="s">
        <v>548</v>
      </c>
      <c r="E3"/>
    </row>
    <row r="4" spans="1:5" x14ac:dyDescent="0.25">
      <c r="A4" s="11" t="s">
        <v>26</v>
      </c>
      <c r="B4" s="1">
        <v>0</v>
      </c>
      <c r="C4" s="1">
        <v>0</v>
      </c>
      <c r="D4" s="1">
        <v>0</v>
      </c>
      <c r="E4"/>
    </row>
    <row r="5" spans="1:5" x14ac:dyDescent="0.25">
      <c r="A5" s="11" t="s">
        <v>27</v>
      </c>
      <c r="B5" s="1">
        <v>3</v>
      </c>
      <c r="C5" s="1">
        <v>0</v>
      </c>
      <c r="D5" s="1">
        <v>1</v>
      </c>
      <c r="E5"/>
    </row>
    <row r="6" spans="1:5" x14ac:dyDescent="0.25">
      <c r="A6" s="11" t="s">
        <v>28</v>
      </c>
      <c r="B6" s="1">
        <v>0</v>
      </c>
      <c r="C6" s="1">
        <v>0</v>
      </c>
      <c r="D6" s="1">
        <v>0</v>
      </c>
      <c r="E6"/>
    </row>
    <row r="7" spans="1:5" x14ac:dyDescent="0.25">
      <c r="A7" s="11" t="s">
        <v>29</v>
      </c>
      <c r="B7" s="1">
        <v>2</v>
      </c>
      <c r="C7" s="1">
        <v>1</v>
      </c>
      <c r="D7" s="1">
        <v>0</v>
      </c>
      <c r="E7"/>
    </row>
    <row r="8" spans="1:5" x14ac:dyDescent="0.25">
      <c r="A8" s="11" t="s">
        <v>30</v>
      </c>
      <c r="B8" s="1">
        <v>6</v>
      </c>
      <c r="C8" s="1">
        <v>15</v>
      </c>
      <c r="D8" s="1">
        <v>3</v>
      </c>
      <c r="E8"/>
    </row>
    <row r="9" spans="1:5" x14ac:dyDescent="0.25">
      <c r="A9" s="11" t="s">
        <v>31</v>
      </c>
      <c r="B9" s="1">
        <v>3</v>
      </c>
      <c r="C9" s="1">
        <v>1</v>
      </c>
      <c r="D9" s="1">
        <v>3</v>
      </c>
      <c r="E9"/>
    </row>
    <row r="10" spans="1:5" x14ac:dyDescent="0.25">
      <c r="A10" s="11" t="s">
        <v>32</v>
      </c>
      <c r="B10" s="1">
        <v>0</v>
      </c>
      <c r="C10" s="1">
        <v>0</v>
      </c>
      <c r="D10" s="1">
        <v>1</v>
      </c>
      <c r="E10"/>
    </row>
    <row r="11" spans="1:5" x14ac:dyDescent="0.25">
      <c r="A11" s="11" t="s">
        <v>34</v>
      </c>
      <c r="B11" s="1">
        <v>2</v>
      </c>
      <c r="C11" s="1">
        <v>0</v>
      </c>
      <c r="D11" s="1">
        <v>3</v>
      </c>
      <c r="E11"/>
    </row>
    <row r="12" spans="1:5" x14ac:dyDescent="0.25">
      <c r="A12" s="11" t="s">
        <v>35</v>
      </c>
      <c r="B12" s="1">
        <v>3</v>
      </c>
      <c r="C12" s="1">
        <v>0</v>
      </c>
      <c r="D12" s="1">
        <v>0</v>
      </c>
      <c r="E12"/>
    </row>
    <row r="13" spans="1:5" x14ac:dyDescent="0.25">
      <c r="A13" s="11" t="s">
        <v>36</v>
      </c>
      <c r="B13" s="1">
        <v>1</v>
      </c>
      <c r="C13" s="1">
        <v>0</v>
      </c>
      <c r="D13" s="1">
        <v>1</v>
      </c>
      <c r="E13"/>
    </row>
    <row r="14" spans="1:5" x14ac:dyDescent="0.25">
      <c r="A14" s="11" t="s">
        <v>37</v>
      </c>
      <c r="B14" s="1">
        <v>2</v>
      </c>
      <c r="C14" s="1">
        <v>0</v>
      </c>
      <c r="D14" s="1">
        <v>2</v>
      </c>
      <c r="E14"/>
    </row>
    <row r="15" spans="1:5" x14ac:dyDescent="0.25">
      <c r="A15" s="11" t="s">
        <v>38</v>
      </c>
      <c r="B15" s="1">
        <v>5</v>
      </c>
      <c r="C15" s="1">
        <v>0</v>
      </c>
      <c r="D15" s="1">
        <v>3</v>
      </c>
      <c r="E15"/>
    </row>
    <row r="16" spans="1:5" x14ac:dyDescent="0.25">
      <c r="A16" s="11" t="s">
        <v>39</v>
      </c>
      <c r="B16" s="1">
        <v>4</v>
      </c>
      <c r="C16" s="1">
        <v>1</v>
      </c>
      <c r="D16" s="1">
        <v>3</v>
      </c>
      <c r="E16"/>
    </row>
    <row r="17" spans="1:5" x14ac:dyDescent="0.25">
      <c r="A17" s="11" t="s">
        <v>40</v>
      </c>
      <c r="B17" s="1">
        <v>4</v>
      </c>
      <c r="C17" s="1">
        <v>1</v>
      </c>
      <c r="D17" s="1">
        <v>2</v>
      </c>
      <c r="E17"/>
    </row>
    <row r="18" spans="1:5" x14ac:dyDescent="0.25">
      <c r="A18" s="11" t="s">
        <v>42</v>
      </c>
      <c r="B18" s="1">
        <v>1</v>
      </c>
      <c r="C18" s="1">
        <v>0</v>
      </c>
      <c r="D18" s="1">
        <v>1</v>
      </c>
      <c r="E18"/>
    </row>
    <row r="19" spans="1:5" x14ac:dyDescent="0.25">
      <c r="A19" s="11" t="s">
        <v>43</v>
      </c>
      <c r="B19" s="1">
        <v>3</v>
      </c>
      <c r="C19" s="1">
        <v>0</v>
      </c>
      <c r="D19" s="1">
        <v>0</v>
      </c>
      <c r="E19"/>
    </row>
    <row r="20" spans="1:5" x14ac:dyDescent="0.25">
      <c r="A20" s="11" t="s">
        <v>44</v>
      </c>
      <c r="B20" s="1">
        <v>4</v>
      </c>
      <c r="C20" s="1">
        <v>1</v>
      </c>
      <c r="D20" s="1">
        <v>1</v>
      </c>
      <c r="E20"/>
    </row>
    <row r="21" spans="1:5" x14ac:dyDescent="0.25">
      <c r="A21" s="11" t="s">
        <v>45</v>
      </c>
      <c r="B21" s="1">
        <v>0</v>
      </c>
      <c r="C21" s="1">
        <v>0</v>
      </c>
      <c r="D21" s="1">
        <v>0</v>
      </c>
      <c r="E21"/>
    </row>
    <row r="22" spans="1:5" x14ac:dyDescent="0.25">
      <c r="A22" s="11" t="s">
        <v>46</v>
      </c>
      <c r="B22" s="1">
        <v>0</v>
      </c>
      <c r="C22" s="1">
        <v>0</v>
      </c>
      <c r="D22" s="1">
        <v>0</v>
      </c>
      <c r="E22"/>
    </row>
    <row r="23" spans="1:5" x14ac:dyDescent="0.25">
      <c r="A23" s="11" t="s">
        <v>47</v>
      </c>
      <c r="B23" s="1">
        <v>2</v>
      </c>
      <c r="C23" s="1">
        <v>3</v>
      </c>
      <c r="D23" s="1">
        <v>2</v>
      </c>
      <c r="E23"/>
    </row>
    <row r="24" spans="1:5" x14ac:dyDescent="0.25">
      <c r="A24" s="11" t="s">
        <v>49</v>
      </c>
      <c r="B24" s="1">
        <v>7</v>
      </c>
      <c r="C24" s="1">
        <v>2</v>
      </c>
      <c r="D24" s="1">
        <v>3</v>
      </c>
      <c r="E24"/>
    </row>
    <row r="25" spans="1:5" x14ac:dyDescent="0.25">
      <c r="A25" s="11" t="s">
        <v>51</v>
      </c>
      <c r="B25" s="1">
        <v>2</v>
      </c>
      <c r="C25" s="1">
        <v>1</v>
      </c>
      <c r="D25" s="1">
        <v>4</v>
      </c>
      <c r="E25"/>
    </row>
    <row r="26" spans="1:5" x14ac:dyDescent="0.25">
      <c r="A26" s="11" t="s">
        <v>52</v>
      </c>
      <c r="B26" s="1">
        <v>5</v>
      </c>
      <c r="C26" s="1">
        <v>0</v>
      </c>
      <c r="D26" s="1">
        <v>2</v>
      </c>
      <c r="E26"/>
    </row>
    <row r="27" spans="1:5" x14ac:dyDescent="0.25">
      <c r="A27" s="11" t="s">
        <v>54</v>
      </c>
      <c r="B27" s="1">
        <v>11</v>
      </c>
      <c r="C27" s="1">
        <v>4</v>
      </c>
      <c r="D27" s="1">
        <v>9</v>
      </c>
      <c r="E27"/>
    </row>
    <row r="28" spans="1:5" x14ac:dyDescent="0.25">
      <c r="A28" s="11" t="s">
        <v>56</v>
      </c>
      <c r="B28" s="1">
        <v>42</v>
      </c>
      <c r="C28" s="1">
        <v>11</v>
      </c>
      <c r="D28" s="1">
        <v>18</v>
      </c>
      <c r="E28"/>
    </row>
    <row r="29" spans="1:5" x14ac:dyDescent="0.25">
      <c r="A29" s="11" t="s">
        <v>57</v>
      </c>
      <c r="B29" s="1">
        <v>3</v>
      </c>
      <c r="C29" s="1">
        <v>0</v>
      </c>
      <c r="D29" s="1">
        <v>2</v>
      </c>
      <c r="E29"/>
    </row>
    <row r="30" spans="1:5" x14ac:dyDescent="0.25">
      <c r="A30" s="11" t="s">
        <v>66</v>
      </c>
      <c r="B30" s="1">
        <v>1</v>
      </c>
      <c r="C30" s="1">
        <v>0</v>
      </c>
      <c r="D30" s="1">
        <v>1</v>
      </c>
      <c r="E30"/>
    </row>
    <row r="31" spans="1:5" x14ac:dyDescent="0.25">
      <c r="A31" s="11" t="s">
        <v>68</v>
      </c>
      <c r="B31" s="1">
        <v>2</v>
      </c>
      <c r="C31" s="1">
        <v>0</v>
      </c>
      <c r="D31" s="1">
        <v>1</v>
      </c>
      <c r="E31"/>
    </row>
    <row r="32" spans="1:5" x14ac:dyDescent="0.25">
      <c r="A32" s="11" t="s">
        <v>69</v>
      </c>
      <c r="B32" s="1">
        <v>2</v>
      </c>
      <c r="C32" s="1">
        <v>0</v>
      </c>
      <c r="D32" s="1">
        <v>1</v>
      </c>
      <c r="E32"/>
    </row>
    <row r="33" spans="1:5" x14ac:dyDescent="0.25">
      <c r="A33" s="11" t="s">
        <v>70</v>
      </c>
      <c r="B33" s="1">
        <v>0</v>
      </c>
      <c r="C33" s="1">
        <v>0</v>
      </c>
      <c r="D33" s="1">
        <v>0</v>
      </c>
      <c r="E33"/>
    </row>
    <row r="34" spans="1:5" x14ac:dyDescent="0.25">
      <c r="A34" s="11" t="s">
        <v>71</v>
      </c>
      <c r="B34" s="1">
        <v>2</v>
      </c>
      <c r="C34" s="1">
        <v>1</v>
      </c>
      <c r="D34" s="1">
        <v>0</v>
      </c>
      <c r="E34"/>
    </row>
    <row r="35" spans="1:5" x14ac:dyDescent="0.25">
      <c r="A35" s="11" t="s">
        <v>73</v>
      </c>
      <c r="B35" s="1">
        <v>2</v>
      </c>
      <c r="C35" s="1">
        <v>0</v>
      </c>
      <c r="D35" s="1">
        <v>1</v>
      </c>
      <c r="E35"/>
    </row>
    <row r="36" spans="1:5" x14ac:dyDescent="0.25">
      <c r="A36" s="11" t="s">
        <v>549</v>
      </c>
      <c r="B36" s="1">
        <v>124</v>
      </c>
      <c r="C36" s="1">
        <v>42</v>
      </c>
      <c r="D36" s="1">
        <v>68</v>
      </c>
      <c r="E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0CEFDCD8645643B5BDB838285C57A7" ma:contentTypeVersion="8" ma:contentTypeDescription="Create a new document." ma:contentTypeScope="" ma:versionID="c3c7867db7b956d4c2ebbaac1a421b6c">
  <xsd:schema xmlns:xsd="http://www.w3.org/2001/XMLSchema" xmlns:xs="http://www.w3.org/2001/XMLSchema" xmlns:p="http://schemas.microsoft.com/office/2006/metadata/properties" xmlns:ns2="74124147-d8e9-4e30-8647-1727e77fc771" targetNamespace="http://schemas.microsoft.com/office/2006/metadata/properties" ma:root="true" ma:fieldsID="ab54ec36db89d674cb7a93f7936d09d6" ns2:_="">
    <xsd:import namespace="74124147-d8e9-4e30-8647-1727e77fc7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24147-d8e9-4e30-8647-1727e77fc7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EA03C8-CF3A-4455-9F2B-194C8CA5F566}">
  <ds:schemaRefs>
    <ds:schemaRef ds:uri="http://schemas.microsoft.com/sharepoint/v3/contenttype/forms"/>
  </ds:schemaRefs>
</ds:datastoreItem>
</file>

<file path=customXml/itemProps2.xml><?xml version="1.0" encoding="utf-8"?>
<ds:datastoreItem xmlns:ds="http://schemas.openxmlformats.org/officeDocument/2006/customXml" ds:itemID="{5595C357-5B05-47EC-AA18-0AEDE5EB4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24147-d8e9-4e30-8647-1727e77fc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5F3153-EBFB-48C0-878D-7C3F314DF24B}">
  <ds:schemaRef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74124147-d8e9-4e30-8647-1727e77fc771"/>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4</vt:i4>
      </vt:variant>
      <vt:variant>
        <vt:lpstr>Rangos con nombre</vt:lpstr>
      </vt:variant>
      <vt:variant>
        <vt:i4>7</vt:i4>
      </vt:variant>
    </vt:vector>
  </HeadingPairs>
  <TitlesOfParts>
    <vt:vector size="18" baseType="lpstr">
      <vt:lpstr>Resumen CAIPI detenidos ene18</vt:lpstr>
      <vt:lpstr>Resumen Servicio operando PI</vt:lpstr>
      <vt:lpstr>estado terrenos </vt:lpstr>
      <vt:lpstr>Seguimiento Julio 2024</vt:lpstr>
      <vt:lpstr>CAIPI Santo Domingo</vt:lpstr>
      <vt:lpstr>Julio 2024</vt:lpstr>
      <vt:lpstr>tabla dinamica</vt:lpstr>
      <vt:lpstr>primera infancia</vt:lpstr>
      <vt:lpstr>Gráfico4</vt:lpstr>
      <vt:lpstr>Gráfico6</vt:lpstr>
      <vt:lpstr>Gráfico7</vt:lpstr>
      <vt:lpstr>'CAIPI Santo Domingo'!Área_de_impresión</vt:lpstr>
      <vt:lpstr>'estado terrenos '!Área_de_impresión</vt:lpstr>
      <vt:lpstr>'Julio 2024'!Área_de_impresión</vt:lpstr>
      <vt:lpstr>'Resumen CAIPI detenidos ene18'!Área_de_impresión</vt:lpstr>
      <vt:lpstr>'Seguimiento Julio 2024'!Área_de_impresión</vt:lpstr>
      <vt:lpstr>'estado terrenos '!Títulos_a_imprimir</vt:lpstr>
      <vt:lpstr>'Seguimiento Julio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Yamel Rivera</dc:creator>
  <cp:keywords/>
  <dc:description/>
  <cp:lastModifiedBy>Edwin Duvernai</cp:lastModifiedBy>
  <cp:revision/>
  <cp:lastPrinted>2024-08-05T13:49:51Z</cp:lastPrinted>
  <dcterms:created xsi:type="dcterms:W3CDTF">2016-01-28T12:04:10Z</dcterms:created>
  <dcterms:modified xsi:type="dcterms:W3CDTF">2024-08-05T13:54:19Z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0x010100F60CEFDCD8645643B5BDB838285C57A7</vt:lpwstr>
  </property>
</Properties>
</file>